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30" firstSheet="1" activeTab="11"/>
  </bookViews>
  <sheets>
    <sheet name="титульный" sheetId="1" r:id="rId1"/>
    <sheet name="2018" sheetId="2" r:id="rId2"/>
    <sheet name=" Мун. 2018" sheetId="3" r:id="rId3"/>
    <sheet name=" ПДД 2018" sheetId="4" r:id="rId4"/>
    <sheet name=" 2019" sheetId="5" r:id="rId5"/>
    <sheet name="Мун. 2019" sheetId="6" r:id="rId6"/>
    <sheet name=" ПДД 2019" sheetId="7" r:id="rId7"/>
    <sheet name=" 2020" sheetId="8" r:id="rId8"/>
    <sheet name="Мун. 2020" sheetId="9" r:id="rId9"/>
    <sheet name=" ПДД 2020" sheetId="10" r:id="rId10"/>
    <sheet name="Раздел 4" sheetId="11" r:id="rId11"/>
    <sheet name="Раздел 5 подпись" sheetId="12" r:id="rId12"/>
  </sheets>
  <externalReferences>
    <externalReference r:id="rId15"/>
    <externalReference r:id="rId16"/>
  </externalReferences>
  <definedNames>
    <definedName name="Z_91D40EB3_3AB1_43EC_9BD4_811B569873C7_.wvu.PrintArea" localSheetId="4" hidden="1">' 2019'!$A$1:$L$99</definedName>
    <definedName name="Z_91D40EB3_3AB1_43EC_9BD4_811B569873C7_.wvu.PrintArea" localSheetId="7" hidden="1">' 2020'!$A$1:$L$99</definedName>
    <definedName name="Z_91D40EB3_3AB1_43EC_9BD4_811B569873C7_.wvu.PrintArea" localSheetId="2" hidden="1">' Мун. 2018'!$A$1:$K$163</definedName>
    <definedName name="Z_91D40EB3_3AB1_43EC_9BD4_811B569873C7_.wvu.PrintArea" localSheetId="3" hidden="1">' ПДД 2018'!$A$1:$K$165</definedName>
    <definedName name="Z_91D40EB3_3AB1_43EC_9BD4_811B569873C7_.wvu.PrintArea" localSheetId="6" hidden="1">' ПДД 2019'!$A$1:$K$165</definedName>
    <definedName name="Z_91D40EB3_3AB1_43EC_9BD4_811B569873C7_.wvu.PrintArea" localSheetId="9" hidden="1">' ПДД 2020'!$A$1:$K$165</definedName>
    <definedName name="Z_91D40EB3_3AB1_43EC_9BD4_811B569873C7_.wvu.PrintArea" localSheetId="1" hidden="1">'2018'!$A$1:$L$99</definedName>
    <definedName name="Z_91D40EB3_3AB1_43EC_9BD4_811B569873C7_.wvu.PrintArea" localSheetId="5" hidden="1">'Мун. 2019'!$A$1:$K$163</definedName>
    <definedName name="Z_91D40EB3_3AB1_43EC_9BD4_811B569873C7_.wvu.PrintArea" localSheetId="8" hidden="1">'Мун. 2020'!$A$1:$K$163</definedName>
    <definedName name="Z_91D40EB3_3AB1_43EC_9BD4_811B569873C7_.wvu.PrintArea" localSheetId="0" hidden="1">'титульный'!$A$1:$G$86</definedName>
    <definedName name="Z_FB496A58_F583_46B2_B046_A2748948A2F7_.wvu.PrintArea" localSheetId="4" hidden="1">' 2019'!$A$1:$L$99</definedName>
    <definedName name="Z_FB496A58_F583_46B2_B046_A2748948A2F7_.wvu.PrintArea" localSheetId="7" hidden="1">' 2020'!$A$1:$L$99</definedName>
    <definedName name="Z_FB496A58_F583_46B2_B046_A2748948A2F7_.wvu.PrintArea" localSheetId="2" hidden="1">' Мун. 2018'!$A$1:$J$163</definedName>
    <definedName name="Z_FB496A58_F583_46B2_B046_A2748948A2F7_.wvu.PrintArea" localSheetId="3" hidden="1">' ПДД 2018'!$A$1:$J$165</definedName>
    <definedName name="Z_FB496A58_F583_46B2_B046_A2748948A2F7_.wvu.PrintArea" localSheetId="6" hidden="1">' ПДД 2019'!$A$1:$J$165</definedName>
    <definedName name="Z_FB496A58_F583_46B2_B046_A2748948A2F7_.wvu.PrintArea" localSheetId="9" hidden="1">' ПДД 2020'!$A$1:$J$165</definedName>
    <definedName name="Z_FB496A58_F583_46B2_B046_A2748948A2F7_.wvu.PrintArea" localSheetId="1" hidden="1">'2018'!$A$1:$L$99</definedName>
    <definedName name="Z_FB496A58_F583_46B2_B046_A2748948A2F7_.wvu.PrintArea" localSheetId="5" hidden="1">'Мун. 2019'!$A$1:$J$163</definedName>
    <definedName name="Z_FB496A58_F583_46B2_B046_A2748948A2F7_.wvu.PrintArea" localSheetId="8" hidden="1">'Мун. 2020'!$A$1:$J$163</definedName>
    <definedName name="Z_FB496A58_F583_46B2_B046_A2748948A2F7_.wvu.PrintArea" localSheetId="0" hidden="1">'титульный'!$A$1:$G$86</definedName>
    <definedName name="_xlnm.Print_Titles" localSheetId="4">' 2019'!$6:$10</definedName>
    <definedName name="_xlnm.Print_Titles" localSheetId="7">' 2020'!$6:$10</definedName>
    <definedName name="_xlnm.Print_Titles" localSheetId="1">'2018'!$6:$10</definedName>
    <definedName name="_xlnm.Print_Titles" localSheetId="10">'Раздел 4'!$4:$8</definedName>
    <definedName name="_xlnm.Print_Area" localSheetId="4">' 2019'!$A$1:$I$62</definedName>
    <definedName name="_xlnm.Print_Area" localSheetId="7">' 2020'!$A$1:$I$62</definedName>
    <definedName name="_xlnm.Print_Area" localSheetId="2">' Мун. 2018'!$A$1:$J$166</definedName>
    <definedName name="_xlnm.Print_Area" localSheetId="3">' ПДД 2018'!$A$1:$J$168</definedName>
    <definedName name="_xlnm.Print_Area" localSheetId="6">' ПДД 2019'!$A$1:$J$168</definedName>
    <definedName name="_xlnm.Print_Area" localSheetId="9">' ПДД 2020'!$A$1:$J$168</definedName>
    <definedName name="_xlnm.Print_Area" localSheetId="1">'2018'!$A$1:$I$62</definedName>
    <definedName name="_xlnm.Print_Area" localSheetId="5">'Мун. 2019'!$A$1:$J$166</definedName>
    <definedName name="_xlnm.Print_Area" localSheetId="8">'Мун. 2020'!$A$1:$J$166</definedName>
    <definedName name="_xlnm.Print_Area" localSheetId="10">'Раздел 4'!$A$1:$L$51</definedName>
    <definedName name="_xlnm.Print_Area" localSheetId="11">'Раздел 5 подпись'!$A$1:$I$23</definedName>
    <definedName name="_xlnm.Print_Area" localSheetId="0">'титульный'!$A$1:$G$86</definedName>
  </definedNames>
  <calcPr fullCalcOnLoad="1"/>
</workbook>
</file>

<file path=xl/sharedStrings.xml><?xml version="1.0" encoding="utf-8"?>
<sst xmlns="http://schemas.openxmlformats.org/spreadsheetml/2006/main" count="1888" uniqueCount="383">
  <si>
    <t>N п/п</t>
  </si>
  <si>
    <t>Наименование показателя</t>
  </si>
  <si>
    <t>Сумма, рублей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</si>
  <si>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</si>
  <si>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</si>
  <si>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</si>
  <si>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</si>
  <si>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</si>
  <si>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</si>
  <si>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</si>
  <si>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</si>
  <si>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</si>
  <si>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</si>
  <si>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задолженность, всего:</t>
  </si>
  <si>
    <t>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</si>
  <si>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</si>
  <si>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</si>
  <si>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</si>
  <si>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долговые обязательства</t>
  </si>
  <si>
    <t>кредиторская задолженность, всего:</t>
  </si>
  <si>
    <t>кредиторская задолженность за счет субсидии на финансовое обеспечение выполнения муниципального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</si>
  <si>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</si>
  <si>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</t>
  </si>
  <si>
    <t>просроченная кредиторская задолженность</t>
  </si>
  <si>
    <t>II. Показатели финансового состояния муниципального учреждения (подразделения)</t>
  </si>
  <si>
    <t>(последняя отчетная дата)</t>
  </si>
  <si>
    <t>I. Сведения о деятельности муниципального учреждения (подразделения)</t>
  </si>
  <si>
    <t>1.3. Перечень услуг (работ), относящихся в соответствии с уставом муниципального учреждения (положением подразделения) к его основным видам деятельности, предоставление которых для физических и юридических лиц осуществляется в том числе за плату:</t>
  </si>
  <si>
    <t xml:space="preserve">                                                  УТВЕРЖДАЮ</t>
  </si>
  <si>
    <t xml:space="preserve">                                         (подпись, расшифровка подписи)</t>
  </si>
  <si>
    <t>адрес фактического местонахождения учреждения (подразделения)</t>
  </si>
  <si>
    <t>Коды</t>
  </si>
  <si>
    <t>Дата</t>
  </si>
  <si>
    <t>по ОКПО</t>
  </si>
  <si>
    <t>Управление образования администрации Петропавловск-Камчатского городского округа</t>
  </si>
  <si>
    <t>ИНН</t>
  </si>
  <si>
    <t>КПП</t>
  </si>
  <si>
    <t>единица измерения 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</si>
  <si>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</si>
  <si>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>Приложение 1</t>
  </si>
  <si>
    <t>Наименование показателя &lt;*&gt;</t>
  </si>
  <si>
    <t>Код 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</si>
  <si>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</si>
  <si>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</si>
  <si>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</si>
  <si>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Субсидия на выполнение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</si>
  <si>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</si>
  <si>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</si>
  <si>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</si>
  <si>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</si>
  <si>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Остаток средств на начало года</t>
  </si>
  <si>
    <t>X</t>
  </si>
  <si>
    <t>Поступления от доходов всего:</t>
  </si>
  <si>
    <t>от использования имущества, находящегося в муниципальной собственности и переданного в аренду</t>
  </si>
  <si>
    <t>от оказания услуг (выполнения работ)</t>
  </si>
  <si>
    <t>из них</t>
  </si>
  <si>
    <t>от поступлений субсидий на финансовое обеспечение выполнения муниципального задания</t>
  </si>
  <si>
    <t>от оказания услуг (выполнения работ) на платной основе</t>
  </si>
  <si>
    <t>от образовательной деятельности</t>
  </si>
  <si>
    <t>от прочих видов деятельности</t>
  </si>
  <si>
    <t>от штрафов, пеней и иных сумм принудительного изъятия</t>
  </si>
  <si>
    <t>иные субсидии, предоставленные из бюджета</t>
  </si>
  <si>
    <t>прочие доходы</t>
  </si>
  <si>
    <t>Выплаты по расходам, всего:</t>
  </si>
  <si>
    <t>выплаты работникам учреждения</t>
  </si>
  <si>
    <t>фонд оплаты труда</t>
  </si>
  <si>
    <t>иные выплаты работникам учреждения,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</si>
  <si>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</si>
  <si>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социальные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</si>
  <si>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</si>
  <si>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уплата налогов, сборов и иных платежей</t>
  </si>
  <si>
    <t xml:space="preserve"> земельный налог</t>
  </si>
  <si>
    <t>уплата прочих налогов и сборов</t>
  </si>
  <si>
    <t>уплата иных платежей</t>
  </si>
  <si>
    <t>капитальные вложения в объекты муниципальной собственности</t>
  </si>
  <si>
    <t>капитальные вложения на приобретение объектов недвижимого имущества муниципальными учреждениями</t>
  </si>
  <si>
    <t>капитальные вложения на строительство объектов недвижимого имущества муниципальными учреждениями</t>
  </si>
  <si>
    <t>закупка товаров, работ, услуг</t>
  </si>
  <si>
    <t>закупка товаров, работ, услуг в целях капитального ремонта муниципального имущества</t>
  </si>
  <si>
    <t>прочая закупка товаров, работ и услуг для обеспечения муниципальных нужд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</si>
  <si>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</si>
  <si>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</si>
  <si>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</si>
  <si>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</si>
  <si>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</si>
  <si>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</si>
  <si>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</si>
  <si>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</si>
  <si>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Поступление финансовых активов, всего</t>
  </si>
  <si>
    <t>Выбытие финансовых активов, всего</t>
  </si>
  <si>
    <t>Остаток средств на конец года</t>
  </si>
  <si>
    <t xml:space="preserve">налог на имущество </t>
  </si>
  <si>
    <t>III. Показатели по поступлениям, выплатам муниципального учреждения (подразделения)</t>
  </si>
  <si>
    <t>Таблица 2</t>
  </si>
  <si>
    <t>Таблица 1</t>
  </si>
  <si>
    <t>Год начала закупки</t>
  </si>
  <si>
    <t>Сумма выплат по расходам на закупку товаров, работ и услуг, рублей (с точностью до двух знаков после запятой - 0,00)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</si>
  <si>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</si>
  <si>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</si>
  <si>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</si>
  <si>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</si>
  <si>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</si>
  <si>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</si>
  <si>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IV. Показатели выплат по расходам на закупку товаров, работ, услуг муниципального учреждения (подразделения</t>
  </si>
  <si>
    <t>Таблица 2.1</t>
  </si>
  <si>
    <t>Сумма</t>
  </si>
  <si>
    <t>(руб., с точностью до двух знаков после запятой - 0,00)</t>
  </si>
  <si>
    <t>Поступление</t>
  </si>
  <si>
    <t>Выбытие</t>
  </si>
  <si>
    <t>(очередной финансовый год)</t>
  </si>
  <si>
    <t>Таблица 3</t>
  </si>
  <si>
    <t xml:space="preserve">    </t>
  </si>
  <si>
    <t xml:space="preserve">                                                            </t>
  </si>
  <si>
    <t>М.П.</t>
  </si>
  <si>
    <t xml:space="preserve">Исполнитель                </t>
  </si>
  <si>
    <t xml:space="preserve"> (подпись)                      (расшифровка подписи)</t>
  </si>
  <si>
    <t>(подпись)                    (расшифровка подписи)</t>
  </si>
  <si>
    <t xml:space="preserve">                                   </t>
  </si>
  <si>
    <t>Приложение 2</t>
  </si>
  <si>
    <r>
      <t xml:space="preserve">к Порядку </t>
    </r>
    <r>
      <rPr>
        <sz val="13"/>
        <color indexed="8"/>
        <rFont val="Times New Roman"/>
        <family val="1"/>
      </rPr>
      <t>составления и утверждения</t>
    </r>
  </si>
  <si>
    <t xml:space="preserve"> плана финансово-хозяйственной</t>
  </si>
  <si>
    <t xml:space="preserve"> деятельности муниципальных бюджетных</t>
  </si>
  <si>
    <t xml:space="preserve"> и автономных учреждений, находящихся</t>
  </si>
  <si>
    <t xml:space="preserve"> в ведении Управления образования</t>
  </si>
  <si>
    <t xml:space="preserve"> администрации Петропавловск-Камчатского</t>
  </si>
  <si>
    <t xml:space="preserve"> городского округа</t>
  </si>
  <si>
    <t>1. Расчеты (обоснования) выплат персоналу (строка 015)</t>
  </si>
  <si>
    <t>1.1. Расчеты (обоснования) расходов на оплату труда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</si>
  <si>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</si>
  <si>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</si>
  <si>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</si>
  <si>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</si>
  <si>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</si>
  <si>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r>
      <t>Фонд оплаты труда в год, руб. (</t>
    </r>
    <r>
      <rPr>
        <sz val="14"/>
        <color indexed="12"/>
        <rFont val="Times New Roman"/>
        <family val="1"/>
      </rPr>
      <t>гр. 3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4</t>
    </r>
    <r>
      <rPr>
        <sz val="14"/>
        <color indexed="8"/>
        <rFont val="Times New Roman"/>
        <family val="1"/>
      </rPr>
      <t xml:space="preserve"> x (1 + </t>
    </r>
    <r>
      <rPr>
        <sz val="14"/>
        <color indexed="12"/>
        <rFont val="Times New Roman"/>
        <family val="1"/>
      </rPr>
      <t>гр. 8</t>
    </r>
    <r>
      <rPr>
        <sz val="14"/>
        <color indexed="8"/>
        <rFont val="Times New Roman"/>
        <family val="1"/>
      </rPr>
      <t xml:space="preserve"> / 100) x </t>
    </r>
    <r>
      <rPr>
        <sz val="14"/>
        <color indexed="12"/>
        <rFont val="Times New Roman"/>
        <family val="1"/>
      </rPr>
      <t>гр. 9</t>
    </r>
    <r>
      <rPr>
        <sz val="14"/>
        <color indexed="8"/>
        <rFont val="Times New Roman"/>
        <family val="1"/>
      </rPr>
      <t xml:space="preserve"> x 12)</t>
    </r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</si>
  <si>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</si>
  <si>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</si>
  <si>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</si>
  <si>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</si>
  <si>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</si>
  <si>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x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</si>
  <si>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</si>
  <si>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</si>
  <si>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</si>
  <si>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</si>
  <si>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r>
      <t>Сумма, руб. (</t>
    </r>
    <r>
      <rPr>
        <sz val="14"/>
        <color indexed="12"/>
        <rFont val="Times New Roman"/>
        <family val="1"/>
      </rPr>
      <t>гр. 3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4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5</t>
    </r>
    <r>
      <rPr>
        <sz val="14"/>
        <color indexed="8"/>
        <rFont val="Times New Roman"/>
        <family val="1"/>
      </rPr>
      <t>)</t>
    </r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</si>
  <si>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</si>
  <si>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</si>
  <si>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</si>
  <si>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</si>
  <si>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</si>
  <si>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</si>
  <si>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</si>
  <si>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</si>
  <si>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по ставке 22,0%</t>
  </si>
  <si>
    <t>1.2.</t>
  </si>
  <si>
    <t>по ставке 10,0%</t>
  </si>
  <si>
    <t>Страховые взносы в Фонд социального страхования Российской Федерации, всего</t>
  </si>
  <si>
    <t>Страховые взносы в Федеральный фонд обязательного медицинского страхования, всего (по ставке 5,1%)</t>
  </si>
  <si>
    <t>Размер одной выплаты, руб.</t>
  </si>
  <si>
    <t>Количество выплат в год</t>
  </si>
  <si>
    <r>
      <t>Общая сумма выплат, руб. (</t>
    </r>
    <r>
      <rPr>
        <sz val="14"/>
        <color indexed="12"/>
        <rFont val="Times New Roman"/>
        <family val="1"/>
      </rPr>
      <t>гр. 3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4</t>
    </r>
    <r>
      <rPr>
        <sz val="14"/>
        <color indexed="8"/>
        <rFont val="Times New Roman"/>
        <family val="1"/>
      </rPr>
      <t>)</t>
    </r>
  </si>
  <si>
    <t>Налоговая база, руб.</t>
  </si>
  <si>
    <t>Ставка налога, %</t>
  </si>
  <si>
    <r>
      <t>Сумма исчисленного налога, подлежащего уплате, руб. (</t>
    </r>
    <r>
      <rPr>
        <sz val="14"/>
        <color indexed="12"/>
        <rFont val="Times New Roman"/>
        <family val="1"/>
      </rPr>
      <t>гр. 3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4</t>
    </r>
    <r>
      <rPr>
        <sz val="14"/>
        <color indexed="8"/>
        <rFont val="Times New Roman"/>
        <family val="1"/>
      </rPr>
      <t xml:space="preserve"> / 100)</t>
    </r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</si>
  <si>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</si>
  <si>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</si>
  <si>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</si>
  <si>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</si>
  <si>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</si>
  <si>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</si>
  <si>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</si>
  <si>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r>
      <t>Сумма, руб. (</t>
    </r>
    <r>
      <rPr>
        <sz val="14"/>
        <color indexed="12"/>
        <rFont val="Times New Roman"/>
        <family val="1"/>
      </rPr>
      <t>гр. 3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4</t>
    </r>
    <r>
      <rPr>
        <sz val="14"/>
        <color indexed="8"/>
        <rFont val="Times New Roman"/>
        <family val="1"/>
      </rPr>
      <t>)</t>
    </r>
  </si>
  <si>
    <t>6.3. Расчет (обоснование) расходов на оплату коммунальных услуг</t>
  </si>
  <si>
    <t>Тариф (с учетом НДС), руб.</t>
  </si>
  <si>
    <t>Индексация, %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</si>
  <si>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</si>
  <si>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</si>
  <si>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</si>
  <si>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с учетом НДС, руб.</t>
  </si>
  <si>
    <t>Объект</t>
  </si>
  <si>
    <t>Количество работ (услуг)</t>
  </si>
  <si>
    <t>Стоимость работ (услуг), руб.</t>
  </si>
  <si>
    <t>Количество договоров</t>
  </si>
  <si>
    <t>Стоимость услуги, руб.</t>
  </si>
  <si>
    <t>Средняя стоимость, руб.</t>
  </si>
  <si>
    <r>
      <t>Сумма, руб. (</t>
    </r>
    <r>
      <rPr>
        <sz val="14"/>
        <color indexed="12"/>
        <rFont val="Times New Roman"/>
        <family val="1"/>
      </rPr>
      <t>гр. 2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3</t>
    </r>
    <r>
      <rPr>
        <sz val="14"/>
        <color indexed="8"/>
        <rFont val="Times New Roman"/>
        <family val="1"/>
      </rPr>
      <t>)</t>
    </r>
  </si>
  <si>
    <t>1.2. Расчеты (обоснования) выплат персоналу при направлении в служебные командировки</t>
  </si>
  <si>
    <t>1.3. Расчеты (обоснования) выплат персоналу по уходу за ребенком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</si>
  <si>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</si>
  <si>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2. Расчеты (обоснования) расходов на социальные и иные выплаты населению</t>
  </si>
  <si>
    <t>Код видов расходов _____________________________________________</t>
  </si>
  <si>
    <t>Источник финансового обеспечения______________________________</t>
  </si>
  <si>
    <t>3. Расчет (обоснование) расходов на уплату налогов, сборов и иных платежей</t>
  </si>
  <si>
    <t>6.5. Расчет (обоснование) расходов на оплату работ, услуг по содержанию имущества</t>
  </si>
  <si>
    <t>(должность лица, утверждающего документ)</t>
  </si>
  <si>
    <t>наименование учреждения (подразделения)</t>
  </si>
  <si>
    <t xml:space="preserve">  МП </t>
  </si>
  <si>
    <t>001</t>
  </si>
  <si>
    <t>002</t>
  </si>
  <si>
    <t>003</t>
  </si>
  <si>
    <t>004</t>
  </si>
  <si>
    <t>005</t>
  </si>
  <si>
    <t>006</t>
  </si>
  <si>
    <t xml:space="preserve"> строка  001  остатки на начало года  201.11 гр. 4-9</t>
  </si>
  <si>
    <t>в том числе: от собственности</t>
  </si>
  <si>
    <t>в графе 3 по 003-013, 039-041 указыв. Коды классификации операций сектора стр. 015-038 виды расхода</t>
  </si>
  <si>
    <t xml:space="preserve"> по строке 005 в гр 9  указывается гранты</t>
  </si>
  <si>
    <t>007</t>
  </si>
  <si>
    <t>009</t>
  </si>
  <si>
    <t>010</t>
  </si>
  <si>
    <t>011</t>
  </si>
  <si>
    <t>012</t>
  </si>
  <si>
    <t>ст 015-038 указыв. Расходы по источникам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</si>
  <si>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</si>
  <si>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</si>
  <si>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</si>
  <si>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</si>
  <si>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</si>
  <si>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</si>
  <si>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</si>
  <si>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</si>
  <si>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</si>
  <si>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</si>
  <si>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</si>
  <si>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</si>
  <si>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</si>
  <si>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</si>
  <si>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</si>
  <si>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</si>
  <si>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</si>
  <si>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</si>
  <si>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</si>
  <si>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</si>
  <si>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</si>
  <si>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</si>
  <si>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</si>
  <si>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</si>
  <si>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</si>
  <si>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</si>
  <si>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</si>
  <si>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</si>
  <si>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</si>
  <si>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0001</t>
  </si>
  <si>
    <t>стр. 0001 = гр.029</t>
  </si>
  <si>
    <t xml:space="preserve">текущие </t>
  </si>
  <si>
    <t>Стоимость имущества,закрепленного за учреждением на праве оперативного управления</t>
  </si>
  <si>
    <t>в том числе сдаваемого в аренду</t>
  </si>
  <si>
    <t>Стоимость имущества,приобретенное за счет выделенных собственником имущества учреждения средств</t>
  </si>
  <si>
    <t>Стоимость имущества, приобретенного  учреждением за счет доходов,полученных от платной и иной приносящей доход деятельности</t>
  </si>
  <si>
    <t>Балансовая стоимость движимого имущества,приобретенного учреждением за счет доходов, полученных от платной и иной приносящей доход деятельности</t>
  </si>
  <si>
    <t>Балансовая стоимость особо ценного движимого имущества</t>
  </si>
  <si>
    <t>1.2. Основные виды деятельности муниципального учреждения (подразделения): дошкольная образовательная деятельность</t>
  </si>
  <si>
    <t>1.1. Цели деятельности учреждения (подразделения): организация предоставления общедоступного и бесплатного дошкольного образования по основным  общеобразовательным программам; воспитание личности, социально адаптированной к условиям жизни в современном обществе, обучение, присмотр, уход и оздоровление детей</t>
  </si>
  <si>
    <t xml:space="preserve">Заместитель главного бухгалтера  муниципального  учреждения (подразделения)  </t>
  </si>
  <si>
    <t xml:space="preserve">Налог на имущество </t>
  </si>
  <si>
    <t>Земельный налог</t>
  </si>
  <si>
    <t>Источник финансового обеспечения:  субсидии на выполнение муниципального задания</t>
  </si>
  <si>
    <r>
      <t xml:space="preserve">Код видов расходов </t>
    </r>
    <r>
      <rPr>
        <u val="single"/>
        <sz val="14"/>
        <color indexed="8"/>
        <rFont val="Times New Roman"/>
        <family val="1"/>
      </rPr>
      <t>851</t>
    </r>
  </si>
  <si>
    <t>Абонентская плата за телефон</t>
  </si>
  <si>
    <t>Теплоэнергия</t>
  </si>
  <si>
    <t>Тепло для ГВС</t>
  </si>
  <si>
    <t>Электроэнергия</t>
  </si>
  <si>
    <t>Холодное водоснабжение</t>
  </si>
  <si>
    <t>Водоотведение</t>
  </si>
  <si>
    <t>Холодное водоснабжение для ГВС</t>
  </si>
  <si>
    <t>Пособие по уходу за ребенком до 3-х лет</t>
  </si>
  <si>
    <t>Вывоз ТБО</t>
  </si>
  <si>
    <t>Обслуживание ТСО</t>
  </si>
  <si>
    <t>Обслуживание УУТЭ</t>
  </si>
  <si>
    <t>ТО Пожарной сигнализации</t>
  </si>
  <si>
    <t xml:space="preserve">Дератизация </t>
  </si>
  <si>
    <t>Мониторинг работоспособности сетей передачи данных</t>
  </si>
  <si>
    <t>Снегоочистка</t>
  </si>
  <si>
    <t>ТО противопожарных дверей</t>
  </si>
  <si>
    <t>Противопожарные мероприятия</t>
  </si>
  <si>
    <t>Гидравлические испытания трубопровода</t>
  </si>
  <si>
    <t>Охрана имущества</t>
  </si>
  <si>
    <t>Обновление Гаранта</t>
  </si>
  <si>
    <t>Обслуживание программного обеспечения</t>
  </si>
  <si>
    <t>Медицинский осмотр</t>
  </si>
  <si>
    <t>Административный персонал</t>
  </si>
  <si>
    <t>Педагогический персонал</t>
  </si>
  <si>
    <t>Учебно-вспомогательный персонал</t>
  </si>
  <si>
    <t>Обслуживающий персонал</t>
  </si>
  <si>
    <t>Приобретение основных средств</t>
  </si>
  <si>
    <t>Приобретение материальных запасов</t>
  </si>
  <si>
    <t>Приобретение материальных запасов на учебный процесс (канц.товары)</t>
  </si>
  <si>
    <t>Приобретение основных средств на учебный процесс ( развивающие игры и игрушки)</t>
  </si>
  <si>
    <r>
      <t xml:space="preserve">Код видов расходов </t>
    </r>
    <r>
      <rPr>
        <u val="single"/>
        <sz val="14"/>
        <color indexed="8"/>
        <rFont val="Times New Roman"/>
        <family val="1"/>
      </rPr>
      <t>111, 112, 119</t>
    </r>
  </si>
  <si>
    <r>
      <t xml:space="preserve">Источник финансового обеспечения:  </t>
    </r>
    <r>
      <rPr>
        <u val="single"/>
        <sz val="14"/>
        <color indexed="8"/>
        <rFont val="Times New Roman"/>
        <family val="1"/>
      </rPr>
      <t>субсидии на выполнение муниципального задания</t>
    </r>
  </si>
  <si>
    <r>
      <t xml:space="preserve">Код видов расходов </t>
    </r>
    <r>
      <rPr>
        <u val="single"/>
        <sz val="14"/>
        <color indexed="8"/>
        <rFont val="Times New Roman"/>
        <family val="1"/>
      </rPr>
      <t>244</t>
    </r>
  </si>
  <si>
    <t>Объем потребления ресурсов</t>
  </si>
  <si>
    <t>Аварийный , текущий ремонт</t>
  </si>
  <si>
    <t>Итого  оснвных средств:</t>
  </si>
  <si>
    <t>Итого материальных запасов</t>
  </si>
  <si>
    <t>Единица измерения</t>
  </si>
  <si>
    <t>Гкал</t>
  </si>
  <si>
    <r>
      <t>Сумма, руб. (</t>
    </r>
    <r>
      <rPr>
        <sz val="14"/>
        <color indexed="12"/>
        <rFont val="Times New Roman"/>
        <family val="1"/>
      </rPr>
      <t>гр. 4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5</t>
    </r>
    <r>
      <rPr>
        <sz val="14"/>
        <color indexed="8"/>
        <rFont val="Times New Roman"/>
        <family val="1"/>
      </rPr>
      <t xml:space="preserve"> x </t>
    </r>
    <r>
      <rPr>
        <sz val="14"/>
        <color indexed="12"/>
        <rFont val="Times New Roman"/>
        <family val="1"/>
      </rPr>
      <t>гр. 6</t>
    </r>
    <r>
      <rPr>
        <sz val="14"/>
        <color indexed="8"/>
        <rFont val="Times New Roman"/>
        <family val="1"/>
      </rPr>
      <t>)</t>
    </r>
  </si>
  <si>
    <t>кВт</t>
  </si>
  <si>
    <t>м3</t>
  </si>
  <si>
    <t>4. Расчет (обоснование) расходов на закупку товаров, работ, услуг</t>
  </si>
  <si>
    <t>4.1. Расчет (обоснование) расходов на оплату услуг связи</t>
  </si>
  <si>
    <t>4.2. Расчет (обоснование) расходов на оплату транспортных услуг</t>
  </si>
  <si>
    <t>4.3. Расчет (обоснование) расходов на оплату коммунальных услуг</t>
  </si>
  <si>
    <t>4.4. Расчет (обоснование) расходов на оплату аренды имущества</t>
  </si>
  <si>
    <t>4.5. Расчет (обоснование) расходов на оплату работ, услуг по содержанию имущества</t>
  </si>
  <si>
    <t>4.6. Расчет (обоснование) расходов на оплату прочих работ, услуг</t>
  </si>
  <si>
    <t>4.7. Расчет (обоснование) расходов на приобретение основных средств, материальных запасов</t>
  </si>
  <si>
    <t>Источник финансового обеспечения: Приносящая доход деятельность</t>
  </si>
  <si>
    <t>Количество д/дни</t>
  </si>
  <si>
    <t>снять 211</t>
  </si>
  <si>
    <r>
      <t>м</t>
    </r>
    <r>
      <rPr>
        <vertAlign val="superscript"/>
        <sz val="14"/>
        <color indexed="8"/>
        <rFont val="Times New Roman"/>
        <family val="1"/>
      </rPr>
      <t>3</t>
    </r>
  </si>
  <si>
    <t>в т.ч. продукты питания 100% оплата</t>
  </si>
  <si>
    <t>продукты питания, 50% оплата</t>
  </si>
  <si>
    <t>Муниципальное автономное дошкольное образовательное учреждение "Детский сад №56 комбинированного вида"</t>
  </si>
  <si>
    <t>г. Петропавловск-Камчатский, проспект Победы, 53</t>
  </si>
  <si>
    <t>______________/  Яловик Л. Н.</t>
  </si>
  <si>
    <t>к Порядку составления и утверждения плана финансово-хозяйственной  деятельности муниципальных бюджетных  и автономных учреждений, находящихся  в ведении Управления образования администрации Петропавловск-Камчатского  городского округа</t>
  </si>
  <si>
    <t>Техническое обслуживание систем вентиляции</t>
  </si>
  <si>
    <t>Поверка</t>
  </si>
  <si>
    <t>Подписка</t>
  </si>
  <si>
    <t>Обучение</t>
  </si>
  <si>
    <t>Обслуживание сайта</t>
  </si>
  <si>
    <t>Приобретение продуктов питания</t>
  </si>
  <si>
    <t>кВт/ч</t>
  </si>
  <si>
    <t>1.4. Общая балансовая стоимость недвижимого муниципального имущества на дату составления Плана, рублей:</t>
  </si>
  <si>
    <t>1.5 Общая балансовая стоимость движимого муниципального имущества на дату составления Плана, рублей:</t>
  </si>
  <si>
    <t>Договор ГПХ по платной образовательной деятельноти</t>
  </si>
  <si>
    <t>Приобретение основных средств (за счет средств  платной образовательной услуге)</t>
  </si>
  <si>
    <t>Итого основных средств:</t>
  </si>
  <si>
    <t>Приобретение материальных запасов (за счет средств  платной образовательной услуге)</t>
  </si>
  <si>
    <t>4.1. Расчет (обоснование) расходов на оплату прочих работ, услуг</t>
  </si>
  <si>
    <t>4.2. Расчет (обоснование) расходов на приобретение основных средств, материальных запасов</t>
  </si>
  <si>
    <t>4.3. Расчет (обоснование) расходов на приобретение основных средств, материальных запасов</t>
  </si>
  <si>
    <t>Фонд оплаты труда в год, руб. 
((гр. 4 х гр.9)+гр.4) х гр.3 х 12</t>
  </si>
  <si>
    <t>Установленная численность, ставки</t>
  </si>
  <si>
    <t>Расчеты (обоснования) к плану финансово-хозяйственной деятельности муниципального учреждения на 2019 год</t>
  </si>
  <si>
    <t>Расчеты (обоснования) к плану финансово-хозяйственной деятельности муниципального учреждения на 2018 год</t>
  </si>
  <si>
    <t>Услуги связи</t>
  </si>
  <si>
    <t>Обслуживание узла учета тепловой энергии</t>
  </si>
  <si>
    <t>Техническое обслуживание противопожарных дверей</t>
  </si>
  <si>
    <t>VIII. Сведения о средствах, поступающих во временное распоряжение муниципального учреждения (подразделения)</t>
  </si>
  <si>
    <t>Транспортные услуги</t>
  </si>
  <si>
    <t>Источник финансового обеспечения: субсидии на выполнение муниципального задания</t>
  </si>
  <si>
    <t>1.3. Расчеты (обоснования) выплат персоналу по уходу за ребенком и прочих выплат</t>
  </si>
  <si>
    <t xml:space="preserve">Код видов расходов </t>
  </si>
  <si>
    <r>
      <t xml:space="preserve">Код видов расходов </t>
    </r>
    <r>
      <rPr>
        <u val="single"/>
        <sz val="14"/>
        <color indexed="8"/>
        <rFont val="Times New Roman"/>
        <family val="1"/>
      </rPr>
      <t>851, 853</t>
    </r>
  </si>
  <si>
    <t>Заведующая муниципального автономного дошкольного образовательного учреждения "Детский сад №56 комбинированного  вида"</t>
  </si>
  <si>
    <t>Журавлева И. А.</t>
  </si>
  <si>
    <t>на 2018г. и плановый период 2019г. и 2020г.</t>
  </si>
  <si>
    <t xml:space="preserve">                                          "___" _____________ 20   г.</t>
  </si>
  <si>
    <t xml:space="preserve">          "___" _____________ 20   г. (дата составления)</t>
  </si>
  <si>
    <t xml:space="preserve">на       20   г. </t>
  </si>
  <si>
    <t>на __________ 2018 г.</t>
  </si>
  <si>
    <t>Вывоз мусора (ТБО, КГО)</t>
  </si>
  <si>
    <t>Техническое обслуживание пожарной сигнализаци</t>
  </si>
  <si>
    <t>Дезинсекция и дератизация</t>
  </si>
  <si>
    <t>Обеспечение функционирования и поддержания работоспособности сетей передачи данных</t>
  </si>
  <si>
    <t>Гидравлические испытания</t>
  </si>
  <si>
    <t>Обслуживание орг.техники</t>
  </si>
  <si>
    <t>Гарант,консультант</t>
  </si>
  <si>
    <t>Сопрвождение процедур закупки</t>
  </si>
  <si>
    <t>Программное обеспечение</t>
  </si>
  <si>
    <t>Приобретение материальных запасов (моющие средства, канцелярские товары, медикаменты)</t>
  </si>
  <si>
    <t xml:space="preserve"> Приобретение технологического оборудования  в муниципальные дошкольные образовательные учреждения (холодильник, ларь морозильный)</t>
  </si>
  <si>
    <t>Приобретение мебели в муниципальные дошкольные образовательные учреждения (стол, стул детский, кровать ясельная, раскладушки)</t>
  </si>
  <si>
    <t>на __________ 2019 г.</t>
  </si>
  <si>
    <t>Расчеты (обоснования) к плану финансово-хозяйственной деятельности муниципального учреждения на 2020 год</t>
  </si>
  <si>
    <t>на __________ 2020 г.</t>
  </si>
  <si>
    <t>на ________________ 2018 г. и плановый период 2019г.и 2020г.</t>
  </si>
  <si>
    <t>на 2018г. очередной финансовый год</t>
  </si>
  <si>
    <t>на 2019 г. 1-ый год планового периода</t>
  </si>
  <si>
    <t>на 2020 г. 2-ой год планового периода</t>
  </si>
  <si>
    <t>_________/_Сухорукова Е.В.</t>
  </si>
  <si>
    <t xml:space="preserve">                                                                                                                      на  2018   г. </t>
  </si>
  <si>
    <t>Исполнитель: Сухорукова Е.В.</t>
  </si>
  <si>
    <t>Исполнитель:  Сухорукова Е.В.</t>
  </si>
  <si>
    <t xml:space="preserve">Исполнитель: Сухорукова Е.В. </t>
  </si>
  <si>
    <t>Текущий и аварийный ремонт</t>
  </si>
  <si>
    <t>Прочие услуги по содержанию имущества</t>
  </si>
  <si>
    <t xml:space="preserve">План финансово-хозяйственной деятельности </t>
  </si>
  <si>
    <t>Тел. 23-50-00 (2783)</t>
  </si>
  <si>
    <t>Тел. 235-000 (2665)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</si>
</sst>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0.0000"/>
    <numFmt numFmtId="179" formatCode="0.000"/>
    <numFmt numFmtId="180" formatCode="0.000000"/>
    <numFmt numFmtId="181" formatCode="0.0000000"/>
    <numFmt numFmtId="182" formatCode="#,##0.000"/>
    <numFmt numFmtId="183" formatCode="#,##0.0000"/>
    <numFmt numFmtId="184" formatCode="#,##0.00000"/>
    <numFmt numFmtId="185" formatCode="0.0"/>
    <numFmt numFmtId="186" formatCode="_-* #,##0.000\ _₽_-;\-* #,##0.000\ _₽_-;_-* &quot;-&quot;??\ _₽_-;_-@_-"/>
    <numFmt numFmtId="187" formatCode="_-* #,##0.0000\ _₽_-;\-* #,##0.0000\ _₽_-;_-* &quot;-&quot;??\ _₽_-;_-@_-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0.000000E+00"/>
    <numFmt numFmtId="197" formatCode="0.0000000E+00"/>
    <numFmt numFmtId="198" formatCode="0.00000000E+00"/>
    <numFmt numFmtId="199" formatCode="0.000000000E+00"/>
    <numFmt numFmtId="200" formatCode="0.0000000000E+00"/>
    <numFmt numFmtId="201" formatCode="0.00000E+00"/>
    <numFmt numFmtId="202" formatCode="0.0000E+00"/>
    <numFmt numFmtId="203" formatCode="#,##0.000000"/>
    <numFmt numFmtId="204" formatCode="#,##0.0000000"/>
    <numFmt numFmtId="205" formatCode="#,##0.00000000"/>
    <numFmt numFmtId="206" formatCode="#,##0.000000000"/>
    <numFmt numFmtId="207" formatCode="#,##0.0000000000"/>
    <numFmt numFmtId="208" formatCode="#,##0.00000000000"/>
    <numFmt numFmtId="209" formatCode="#,##0.000000000000"/>
    <numFmt numFmtId="210" formatCode="#,##0.00000000000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12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u val="single"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i/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4"/>
      <color indexed="9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14"/>
      <color indexed="30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i/>
      <sz val="14"/>
      <color theme="0"/>
      <name val="Times New Roman"/>
      <family val="1"/>
    </font>
    <font>
      <sz val="12"/>
      <color theme="0"/>
      <name val="Times New Roman"/>
      <family val="1"/>
    </font>
    <font>
      <sz val="14"/>
      <color theme="0"/>
      <name val="Times New Roman"/>
      <family val="1"/>
    </font>
    <font>
      <i/>
      <sz val="14"/>
      <color theme="1"/>
      <name val="Times New Roman"/>
      <family val="1"/>
    </font>
    <font>
      <i/>
      <sz val="11"/>
      <color theme="1"/>
      <name val="Times New Roman"/>
      <family val="1"/>
    </font>
    <font>
      <i/>
      <sz val="14"/>
      <color theme="0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6"/>
      <color theme="1"/>
      <name val="Times New Roman"/>
      <family val="1"/>
    </font>
    <font>
      <u val="single"/>
      <sz val="14"/>
      <color theme="10"/>
      <name val="Times New Roman"/>
      <family val="1"/>
    </font>
    <font>
      <b/>
      <u val="single"/>
      <sz val="14"/>
      <color theme="1"/>
      <name val="Times New Roman"/>
      <family val="1"/>
    </font>
    <font>
      <sz val="9"/>
      <color theme="1"/>
      <name val="Times New Roman"/>
      <family val="1"/>
    </font>
    <font>
      <u val="single"/>
      <sz val="11"/>
      <color theme="0"/>
      <name val="Calibri"/>
      <family val="2"/>
    </font>
    <font>
      <sz val="15"/>
      <color theme="1"/>
      <name val="Times New Roman"/>
      <family val="1"/>
    </font>
    <font>
      <u val="single"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31">
    <xf numFmtId="0" fontId="0" fillId="0" borderId="0" xfId="0" applyFont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vertical="center" wrapText="1"/>
    </xf>
    <xf numFmtId="0" fontId="65" fillId="0" borderId="13" xfId="0" applyFont="1" applyBorder="1" applyAlignment="1">
      <alignment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right" vertical="center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vertical="center" wrapText="1"/>
    </xf>
    <xf numFmtId="0" fontId="66" fillId="0" borderId="0" xfId="0" applyFont="1" applyAlignment="1">
      <alignment horizontal="center" vertical="center" wrapText="1"/>
    </xf>
    <xf numFmtId="0" fontId="65" fillId="0" borderId="14" xfId="0" applyFont="1" applyBorder="1" applyAlignment="1">
      <alignment horizontal="left" vertical="center" wrapText="1" indent="1"/>
    </xf>
    <xf numFmtId="0" fontId="65" fillId="0" borderId="11" xfId="0" applyFont="1" applyBorder="1" applyAlignment="1">
      <alignment horizontal="left" vertical="center" wrapText="1" indent="1"/>
    </xf>
    <xf numFmtId="0" fontId="65" fillId="0" borderId="12" xfId="0" applyFont="1" applyBorder="1" applyAlignment="1">
      <alignment horizontal="left" vertical="center" wrapText="1"/>
    </xf>
    <xf numFmtId="4" fontId="65" fillId="0" borderId="12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right"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vertical="top"/>
    </xf>
    <xf numFmtId="0" fontId="65" fillId="0" borderId="11" xfId="0" applyFont="1" applyBorder="1" applyAlignment="1">
      <alignment vertical="center" wrapText="1"/>
    </xf>
    <xf numFmtId="0" fontId="65" fillId="0" borderId="0" xfId="0" applyFont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65" fillId="0" borderId="13" xfId="0" applyFont="1" applyBorder="1" applyAlignment="1">
      <alignment horizontal="right" vertical="center" wrapText="1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horizontal="right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49" fontId="65" fillId="0" borderId="12" xfId="0" applyNumberFormat="1" applyFont="1" applyBorder="1" applyAlignment="1">
      <alignment horizontal="center" vertical="center" wrapText="1"/>
    </xf>
    <xf numFmtId="0" fontId="65" fillId="0" borderId="11" xfId="0" applyFont="1" applyBorder="1" applyAlignment="1">
      <alignment horizontal="left" vertical="center" wrapText="1"/>
    </xf>
    <xf numFmtId="0" fontId="68" fillId="33" borderId="0" xfId="0" applyFont="1" applyFill="1" applyAlignment="1">
      <alignment horizontal="center" vertical="center" wrapText="1"/>
    </xf>
    <xf numFmtId="0" fontId="69" fillId="0" borderId="11" xfId="0" applyFont="1" applyBorder="1" applyAlignment="1">
      <alignment horizontal="left" vertical="center" wrapText="1" indent="1"/>
    </xf>
    <xf numFmtId="49" fontId="69" fillId="0" borderId="12" xfId="0" applyNumberFormat="1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4" fontId="68" fillId="0" borderId="0" xfId="0" applyNumberFormat="1" applyFont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33" borderId="0" xfId="0" applyFont="1" applyFill="1" applyAlignment="1">
      <alignment horizontal="center" vertical="center" wrapText="1"/>
    </xf>
    <xf numFmtId="0" fontId="65" fillId="0" borderId="16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center" vertical="center" wrapText="1"/>
    </xf>
    <xf numFmtId="2" fontId="65" fillId="0" borderId="16" xfId="0" applyNumberFormat="1" applyFont="1" applyBorder="1" applyAlignment="1">
      <alignment horizontal="center" vertical="center" wrapText="1"/>
    </xf>
    <xf numFmtId="0" fontId="65" fillId="33" borderId="0" xfId="0" applyFont="1" applyFill="1" applyAlignment="1">
      <alignment horizontal="center" vertical="center" wrapText="1"/>
    </xf>
    <xf numFmtId="0" fontId="65" fillId="33" borderId="11" xfId="0" applyFont="1" applyFill="1" applyBorder="1" applyAlignment="1">
      <alignment vertical="center" wrapText="1"/>
    </xf>
    <xf numFmtId="0" fontId="65" fillId="33" borderId="12" xfId="0" applyFont="1" applyFill="1" applyBorder="1" applyAlignment="1">
      <alignment horizontal="center" vertical="center" wrapText="1"/>
    </xf>
    <xf numFmtId="4" fontId="65" fillId="33" borderId="12" xfId="0" applyNumberFormat="1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vertical="center" wrapText="1"/>
    </xf>
    <xf numFmtId="0" fontId="66" fillId="0" borderId="0" xfId="0" applyFont="1" applyBorder="1" applyAlignment="1">
      <alignment horizontal="right" wrapText="1"/>
    </xf>
    <xf numFmtId="49" fontId="65" fillId="0" borderId="0" xfId="0" applyNumberFormat="1" applyFont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left" vertical="center" wrapText="1"/>
    </xf>
    <xf numFmtId="0" fontId="66" fillId="33" borderId="0" xfId="0" applyFont="1" applyFill="1" applyAlignment="1">
      <alignment horizontal="center" vertical="center" wrapText="1"/>
    </xf>
    <xf numFmtId="2" fontId="65" fillId="0" borderId="12" xfId="0" applyNumberFormat="1" applyFont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left" vertical="center" wrapText="1"/>
    </xf>
    <xf numFmtId="4" fontId="66" fillId="33" borderId="0" xfId="0" applyNumberFormat="1" applyFont="1" applyFill="1" applyAlignment="1">
      <alignment horizontal="center" vertical="center" wrapText="1"/>
    </xf>
    <xf numFmtId="0" fontId="65" fillId="33" borderId="14" xfId="0" applyFont="1" applyFill="1" applyBorder="1" applyAlignment="1">
      <alignment horizontal="left" vertical="center" wrapText="1" indent="1"/>
    </xf>
    <xf numFmtId="0" fontId="65" fillId="33" borderId="11" xfId="0" applyFont="1" applyFill="1" applyBorder="1" applyAlignment="1">
      <alignment horizontal="left" vertical="center" wrapText="1" indent="1"/>
    </xf>
    <xf numFmtId="49" fontId="65" fillId="33" borderId="12" xfId="0" applyNumberFormat="1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vertical="center" wrapText="1"/>
    </xf>
    <xf numFmtId="49" fontId="69" fillId="33" borderId="12" xfId="0" applyNumberFormat="1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4" fontId="69" fillId="33" borderId="12" xfId="0" applyNumberFormat="1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vertical="center" wrapText="1"/>
    </xf>
    <xf numFmtId="0" fontId="65" fillId="33" borderId="11" xfId="0" applyFont="1" applyFill="1" applyBorder="1" applyAlignment="1">
      <alignment horizontal="left" vertical="center" wrapText="1"/>
    </xf>
    <xf numFmtId="4" fontId="68" fillId="33" borderId="0" xfId="0" applyNumberFormat="1" applyFont="1" applyFill="1" applyAlignment="1">
      <alignment horizontal="center" vertical="center" wrapText="1"/>
    </xf>
    <xf numFmtId="0" fontId="65" fillId="33" borderId="14" xfId="0" applyFont="1" applyFill="1" applyBorder="1" applyAlignment="1">
      <alignment horizontal="left" vertical="center" wrapText="1" indent="2"/>
    </xf>
    <xf numFmtId="0" fontId="65" fillId="33" borderId="11" xfId="0" applyFont="1" applyFill="1" applyBorder="1" applyAlignment="1">
      <alignment horizontal="left" vertical="center" wrapText="1" indent="2"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 horizontal="right" vertical="center" wrapText="1"/>
    </xf>
    <xf numFmtId="0" fontId="66" fillId="0" borderId="0" xfId="0" applyFont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5" fillId="0" borderId="11" xfId="0" applyFont="1" applyFill="1" applyBorder="1" applyAlignment="1">
      <alignment vertical="center" wrapText="1"/>
    </xf>
    <xf numFmtId="0" fontId="65" fillId="0" borderId="12" xfId="0" applyFont="1" applyFill="1" applyBorder="1" applyAlignment="1">
      <alignment horizontal="center" vertical="center" wrapText="1"/>
    </xf>
    <xf numFmtId="4" fontId="65" fillId="0" borderId="12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 wrapText="1"/>
    </xf>
    <xf numFmtId="0" fontId="66" fillId="0" borderId="0" xfId="0" applyFont="1" applyFill="1" applyAlignment="1">
      <alignment horizontal="center" vertical="center" wrapText="1"/>
    </xf>
    <xf numFmtId="0" fontId="65" fillId="0" borderId="16" xfId="0" applyFont="1" applyFill="1" applyBorder="1" applyAlignment="1">
      <alignment horizontal="left" vertical="center" wrapText="1"/>
    </xf>
    <xf numFmtId="2" fontId="65" fillId="0" borderId="16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 wrapText="1"/>
    </xf>
    <xf numFmtId="10" fontId="65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6" fillId="0" borderId="0" xfId="0" applyFont="1" applyAlignment="1">
      <alignment/>
    </xf>
    <xf numFmtId="184" fontId="0" fillId="0" borderId="0" xfId="0" applyNumberFormat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65" fillId="33" borderId="10" xfId="0" applyFont="1" applyFill="1" applyBorder="1" applyAlignment="1">
      <alignment horizontal="center" vertical="center" wrapText="1"/>
    </xf>
    <xf numFmtId="2" fontId="65" fillId="33" borderId="12" xfId="0" applyNumberFormat="1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right" vertical="center" wrapText="1"/>
    </xf>
    <xf numFmtId="0" fontId="65" fillId="33" borderId="12" xfId="0" applyFont="1" applyFill="1" applyBorder="1" applyAlignment="1">
      <alignment vertical="center" wrapText="1"/>
    </xf>
    <xf numFmtId="0" fontId="65" fillId="33" borderId="13" xfId="0" applyFont="1" applyFill="1" applyBorder="1" applyAlignment="1">
      <alignment horizontal="justify" vertical="center" wrapText="1"/>
    </xf>
    <xf numFmtId="0" fontId="65" fillId="33" borderId="12" xfId="0" applyFont="1" applyFill="1" applyBorder="1" applyAlignment="1">
      <alignment horizontal="justify" vertical="center" wrapText="1"/>
    </xf>
    <xf numFmtId="0" fontId="65" fillId="33" borderId="12" xfId="0" applyFont="1" applyFill="1" applyBorder="1" applyAlignment="1">
      <alignment horizontal="left" vertical="center" wrapText="1" indent="4"/>
    </xf>
    <xf numFmtId="0" fontId="65" fillId="33" borderId="0" xfId="0" applyFont="1" applyFill="1" applyAlignment="1">
      <alignment horizontal="justify" vertical="center"/>
    </xf>
    <xf numFmtId="0" fontId="65" fillId="33" borderId="0" xfId="0" applyFont="1" applyFill="1" applyAlignment="1">
      <alignment horizontal="center" vertical="center"/>
    </xf>
    <xf numFmtId="2" fontId="0" fillId="33" borderId="0" xfId="0" applyNumberFormat="1" applyFill="1" applyAlignment="1">
      <alignment/>
    </xf>
    <xf numFmtId="0" fontId="65" fillId="33" borderId="0" xfId="0" applyFont="1" applyFill="1" applyAlignment="1">
      <alignment vertical="center"/>
    </xf>
    <xf numFmtId="43" fontId="65" fillId="33" borderId="12" xfId="0" applyNumberFormat="1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left" vertical="center" wrapText="1"/>
    </xf>
    <xf numFmtId="0" fontId="66" fillId="33" borderId="0" xfId="0" applyFont="1" applyFill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4" fontId="56" fillId="35" borderId="0" xfId="0" applyNumberFormat="1" applyFont="1" applyFill="1" applyAlignment="1">
      <alignment/>
    </xf>
    <xf numFmtId="0" fontId="69" fillId="33" borderId="12" xfId="0" applyFont="1" applyFill="1" applyBorder="1" applyAlignment="1">
      <alignment horizontal="right" vertical="center" wrapText="1"/>
    </xf>
    <xf numFmtId="2" fontId="69" fillId="33" borderId="12" xfId="0" applyNumberFormat="1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left" vertical="center" wrapText="1"/>
    </xf>
    <xf numFmtId="43" fontId="65" fillId="33" borderId="12" xfId="59" applyFont="1" applyFill="1" applyBorder="1" applyAlignment="1">
      <alignment horizontal="center" vertical="center" wrapText="1"/>
    </xf>
    <xf numFmtId="43" fontId="69" fillId="33" borderId="12" xfId="59" applyFont="1" applyFill="1" applyBorder="1" applyAlignment="1">
      <alignment horizontal="center" vertical="center" wrapText="1"/>
    </xf>
    <xf numFmtId="43" fontId="69" fillId="33" borderId="12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right" vertical="center" wrapText="1"/>
    </xf>
    <xf numFmtId="2" fontId="69" fillId="33" borderId="15" xfId="0" applyNumberFormat="1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vertical="center" wrapText="1"/>
    </xf>
    <xf numFmtId="0" fontId="69" fillId="0" borderId="12" xfId="0" applyFont="1" applyBorder="1" applyAlignment="1">
      <alignment horizontal="justify" vertical="center" wrapText="1"/>
    </xf>
    <xf numFmtId="4" fontId="69" fillId="0" borderId="12" xfId="0" applyNumberFormat="1" applyFont="1" applyBorder="1" applyAlignment="1">
      <alignment vertical="center" wrapText="1"/>
    </xf>
    <xf numFmtId="2" fontId="65" fillId="0" borderId="12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4" fontId="6" fillId="34" borderId="0" xfId="0" applyNumberFormat="1" applyFont="1" applyFill="1" applyAlignment="1">
      <alignment horizontal="center" vertical="center" wrapText="1"/>
    </xf>
    <xf numFmtId="0" fontId="70" fillId="34" borderId="0" xfId="0" applyFont="1" applyFill="1" applyAlignment="1">
      <alignment horizontal="center" vertical="center" wrapText="1"/>
    </xf>
    <xf numFmtId="171" fontId="0" fillId="33" borderId="0" xfId="0" applyNumberFormat="1" applyFill="1" applyAlignment="1">
      <alignment/>
    </xf>
    <xf numFmtId="0" fontId="71" fillId="0" borderId="0" xfId="0" applyFont="1" applyAlignment="1">
      <alignment/>
    </xf>
    <xf numFmtId="0" fontId="69" fillId="0" borderId="18" xfId="0" applyFont="1" applyBorder="1" applyAlignment="1">
      <alignment horizontal="left" vertical="center" wrapText="1"/>
    </xf>
    <xf numFmtId="49" fontId="69" fillId="0" borderId="19" xfId="0" applyNumberFormat="1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70" fillId="34" borderId="20" xfId="0" applyFont="1" applyFill="1" applyBorder="1" applyAlignment="1">
      <alignment horizontal="left" vertical="center" wrapText="1"/>
    </xf>
    <xf numFmtId="49" fontId="70" fillId="34" borderId="21" xfId="0" applyNumberFormat="1" applyFont="1" applyFill="1" applyBorder="1" applyAlignment="1">
      <alignment horizontal="center" vertical="center" wrapText="1"/>
    </xf>
    <xf numFmtId="0" fontId="70" fillId="34" borderId="21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left" vertical="center" wrapText="1"/>
    </xf>
    <xf numFmtId="0" fontId="65" fillId="33" borderId="22" xfId="0" applyFont="1" applyFill="1" applyBorder="1" applyAlignment="1">
      <alignment horizontal="left" vertical="center" wrapText="1"/>
    </xf>
    <xf numFmtId="49" fontId="65" fillId="33" borderId="23" xfId="0" applyNumberFormat="1" applyFont="1" applyFill="1" applyBorder="1" applyAlignment="1">
      <alignment horizontal="center" vertical="center" wrapText="1"/>
    </xf>
    <xf numFmtId="0" fontId="65" fillId="33" borderId="23" xfId="0" applyFont="1" applyFill="1" applyBorder="1" applyAlignment="1">
      <alignment horizontal="center" vertical="center" wrapText="1"/>
    </xf>
    <xf numFmtId="4" fontId="65" fillId="33" borderId="23" xfId="0" applyNumberFormat="1" applyFont="1" applyFill="1" applyBorder="1" applyAlignment="1">
      <alignment horizontal="center" vertical="center" wrapText="1"/>
    </xf>
    <xf numFmtId="0" fontId="69" fillId="33" borderId="20" xfId="0" applyFont="1" applyFill="1" applyBorder="1" applyAlignment="1">
      <alignment horizontal="left" vertical="center" wrapText="1"/>
    </xf>
    <xf numFmtId="49" fontId="69" fillId="33" borderId="21" xfId="0" applyNumberFormat="1" applyFont="1" applyFill="1" applyBorder="1" applyAlignment="1">
      <alignment horizontal="center" vertical="center" wrapText="1"/>
    </xf>
    <xf numFmtId="0" fontId="69" fillId="33" borderId="21" xfId="0" applyFont="1" applyFill="1" applyBorder="1" applyAlignment="1">
      <alignment horizontal="center" vertical="center" wrapText="1"/>
    </xf>
    <xf numFmtId="4" fontId="69" fillId="33" borderId="21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5" fillId="0" borderId="11" xfId="0" applyFont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left" vertical="center"/>
    </xf>
    <xf numFmtId="0" fontId="65" fillId="0" borderId="11" xfId="0" applyFont="1" applyBorder="1" applyAlignment="1">
      <alignment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0" xfId="0" applyFont="1" applyAlignment="1">
      <alignment horizontal="justify" vertical="center"/>
    </xf>
    <xf numFmtId="0" fontId="66" fillId="0" borderId="0" xfId="0" applyFont="1" applyAlignment="1">
      <alignment horizontal="left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 wrapText="1"/>
    </xf>
    <xf numFmtId="49" fontId="65" fillId="33" borderId="0" xfId="0" applyNumberFormat="1" applyFont="1" applyFill="1" applyBorder="1" applyAlignment="1">
      <alignment horizontal="center" vertical="center" wrapText="1"/>
    </xf>
    <xf numFmtId="4" fontId="65" fillId="33" borderId="0" xfId="0" applyNumberFormat="1" applyFont="1" applyFill="1" applyBorder="1" applyAlignment="1">
      <alignment horizontal="center" vertical="center" wrapText="1"/>
    </xf>
    <xf numFmtId="49" fontId="65" fillId="33" borderId="0" xfId="0" applyNumberFormat="1" applyFont="1" applyFill="1" applyBorder="1" applyAlignment="1">
      <alignment vertical="center" wrapText="1"/>
    </xf>
    <xf numFmtId="0" fontId="65" fillId="33" borderId="0" xfId="0" applyFont="1" applyFill="1" applyBorder="1" applyAlignment="1">
      <alignment horizontal="justify" vertical="center"/>
    </xf>
    <xf numFmtId="0" fontId="66" fillId="33" borderId="0" xfId="0" applyFont="1" applyFill="1" applyBorder="1" applyAlignment="1">
      <alignment horizontal="left" vertical="center" wrapText="1"/>
    </xf>
    <xf numFmtId="0" fontId="69" fillId="0" borderId="0" xfId="0" applyFont="1" applyAlignment="1">
      <alignment horizontal="center" vertical="center"/>
    </xf>
    <xf numFmtId="0" fontId="65" fillId="0" borderId="11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left" vertical="center" wrapText="1"/>
    </xf>
    <xf numFmtId="0" fontId="66" fillId="33" borderId="0" xfId="0" applyFont="1" applyFill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left" vertical="center"/>
    </xf>
    <xf numFmtId="0" fontId="65" fillId="0" borderId="17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4" fontId="48" fillId="33" borderId="0" xfId="0" applyNumberFormat="1" applyFont="1" applyFill="1" applyAlignment="1">
      <alignment/>
    </xf>
    <xf numFmtId="0" fontId="48" fillId="33" borderId="0" xfId="0" applyFont="1" applyFill="1" applyAlignment="1">
      <alignment/>
    </xf>
    <xf numFmtId="43" fontId="48" fillId="33" borderId="0" xfId="0" applyNumberFormat="1" applyFont="1" applyFill="1" applyAlignment="1">
      <alignment/>
    </xf>
    <xf numFmtId="2" fontId="48" fillId="33" borderId="0" xfId="0" applyNumberFormat="1" applyFont="1" applyFill="1" applyAlignment="1">
      <alignment/>
    </xf>
    <xf numFmtId="4" fontId="5" fillId="33" borderId="12" xfId="0" applyNumberFormat="1" applyFont="1" applyFill="1" applyBorder="1" applyAlignment="1">
      <alignment horizontal="center" vertical="center" wrapText="1"/>
    </xf>
    <xf numFmtId="4" fontId="69" fillId="33" borderId="19" xfId="0" applyNumberFormat="1" applyFont="1" applyFill="1" applyBorder="1" applyAlignment="1">
      <alignment horizontal="center" vertical="center" wrapText="1"/>
    </xf>
    <xf numFmtId="4" fontId="70" fillId="33" borderId="21" xfId="0" applyNumberFormat="1" applyFont="1" applyFill="1" applyBorder="1" applyAlignment="1">
      <alignment horizontal="center" vertical="center" wrapText="1"/>
    </xf>
    <xf numFmtId="4" fontId="66" fillId="33" borderId="0" xfId="0" applyNumberFormat="1" applyFont="1" applyFill="1" applyBorder="1" applyAlignment="1">
      <alignment horizontal="center" vertical="center" wrapText="1"/>
    </xf>
    <xf numFmtId="2" fontId="65" fillId="33" borderId="0" xfId="0" applyNumberFormat="1" applyFont="1" applyFill="1" applyBorder="1" applyAlignment="1">
      <alignment horizontal="center" vertical="center" wrapText="1"/>
    </xf>
    <xf numFmtId="0" fontId="73" fillId="33" borderId="0" xfId="0" applyFont="1" applyFill="1" applyAlignment="1">
      <alignment horizontal="center" vertical="center" wrapText="1"/>
    </xf>
    <xf numFmtId="0" fontId="73" fillId="0" borderId="0" xfId="0" applyFont="1" applyFill="1" applyAlignment="1">
      <alignment horizontal="center" vertical="center" wrapText="1"/>
    </xf>
    <xf numFmtId="4" fontId="73" fillId="33" borderId="0" xfId="0" applyNumberFormat="1" applyFont="1" applyFill="1" applyAlignment="1">
      <alignment horizontal="center" vertical="center" wrapText="1"/>
    </xf>
    <xf numFmtId="4" fontId="73" fillId="0" borderId="0" xfId="0" applyNumberFormat="1" applyFont="1" applyFill="1" applyAlignment="1">
      <alignment horizontal="center" vertical="center" wrapText="1"/>
    </xf>
    <xf numFmtId="43" fontId="73" fillId="0" borderId="0" xfId="0" applyNumberFormat="1" applyFont="1" applyFill="1" applyAlignment="1">
      <alignment horizontal="center" vertical="center" wrapText="1"/>
    </xf>
    <xf numFmtId="0" fontId="74" fillId="33" borderId="0" xfId="0" applyFont="1" applyFill="1" applyAlignment="1">
      <alignment horizontal="center" vertical="center" wrapText="1"/>
    </xf>
    <xf numFmtId="0" fontId="74" fillId="0" borderId="0" xfId="0" applyFont="1" applyFill="1" applyAlignment="1">
      <alignment horizontal="center" vertical="center" wrapText="1"/>
    </xf>
    <xf numFmtId="4" fontId="75" fillId="33" borderId="0" xfId="0" applyNumberFormat="1" applyFont="1" applyFill="1" applyAlignment="1">
      <alignment horizontal="center" vertical="center" wrapText="1"/>
    </xf>
    <xf numFmtId="4" fontId="75" fillId="0" borderId="0" xfId="0" applyNumberFormat="1" applyFont="1" applyFill="1" applyAlignment="1">
      <alignment horizontal="center" vertical="center" wrapText="1"/>
    </xf>
    <xf numFmtId="43" fontId="75" fillId="0" borderId="0" xfId="0" applyNumberFormat="1" applyFont="1" applyFill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7" fillId="33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4" fontId="77" fillId="33" borderId="0" xfId="0" applyNumberFormat="1" applyFont="1" applyFill="1" applyBorder="1" applyAlignment="1">
      <alignment horizontal="center" vertical="center" wrapText="1"/>
    </xf>
    <xf numFmtId="4" fontId="77" fillId="0" borderId="0" xfId="0" applyNumberFormat="1" applyFont="1" applyFill="1" applyBorder="1" applyAlignment="1">
      <alignment horizontal="center" vertical="center" wrapText="1"/>
    </xf>
    <xf numFmtId="179" fontId="48" fillId="33" borderId="0" xfId="0" applyNumberFormat="1" applyFont="1" applyFill="1" applyAlignment="1">
      <alignment/>
    </xf>
    <xf numFmtId="204" fontId="48" fillId="33" borderId="0" xfId="0" applyNumberFormat="1" applyFont="1" applyFill="1" applyAlignment="1">
      <alignment/>
    </xf>
    <xf numFmtId="171" fontId="48" fillId="33" borderId="0" xfId="0" applyNumberFormat="1" applyFont="1" applyFill="1" applyAlignment="1">
      <alignment/>
    </xf>
    <xf numFmtId="191" fontId="48" fillId="33" borderId="0" xfId="0" applyNumberFormat="1" applyFont="1" applyFill="1" applyAlignment="1">
      <alignment/>
    </xf>
    <xf numFmtId="181" fontId="48" fillId="33" borderId="0" xfId="0" applyNumberFormat="1" applyFont="1" applyFill="1" applyAlignment="1">
      <alignment/>
    </xf>
    <xf numFmtId="4" fontId="57" fillId="33" borderId="0" xfId="0" applyNumberFormat="1" applyFont="1" applyFill="1" applyAlignment="1">
      <alignment/>
    </xf>
    <xf numFmtId="184" fontId="48" fillId="33" borderId="0" xfId="0" applyNumberFormat="1" applyFont="1" applyFill="1" applyAlignment="1">
      <alignment/>
    </xf>
    <xf numFmtId="0" fontId="48" fillId="33" borderId="0" xfId="0" applyFont="1" applyFill="1" applyAlignment="1">
      <alignment horizontal="left"/>
    </xf>
    <xf numFmtId="0" fontId="65" fillId="33" borderId="25" xfId="0" applyFont="1" applyFill="1" applyBorder="1" applyAlignment="1">
      <alignment vertical="center" wrapText="1"/>
    </xf>
    <xf numFmtId="0" fontId="78" fillId="33" borderId="26" xfId="0" applyFont="1" applyFill="1" applyBorder="1" applyAlignment="1">
      <alignment vertical="center" wrapText="1"/>
    </xf>
    <xf numFmtId="0" fontId="78" fillId="33" borderId="12" xfId="0" applyFont="1" applyFill="1" applyBorder="1" applyAlignment="1">
      <alignment horizontal="center" vertical="center" wrapText="1"/>
    </xf>
    <xf numFmtId="4" fontId="78" fillId="33" borderId="12" xfId="0" applyNumberFormat="1" applyFont="1" applyFill="1" applyBorder="1" applyAlignment="1">
      <alignment horizontal="center" vertical="center" wrapText="1"/>
    </xf>
    <xf numFmtId="0" fontId="79" fillId="33" borderId="0" xfId="0" applyFont="1" applyFill="1" applyAlignment="1">
      <alignment horizontal="center" vertical="center" wrapText="1"/>
    </xf>
    <xf numFmtId="0" fontId="78" fillId="33" borderId="12" xfId="0" applyFont="1" applyFill="1" applyBorder="1" applyAlignment="1">
      <alignment vertical="center" wrapText="1"/>
    </xf>
    <xf numFmtId="4" fontId="80" fillId="33" borderId="0" xfId="0" applyNumberFormat="1" applyFont="1" applyFill="1" applyAlignment="1">
      <alignment horizontal="center" vertical="center" wrapText="1"/>
    </xf>
    <xf numFmtId="4" fontId="79" fillId="33" borderId="0" xfId="0" applyNumberFormat="1" applyFont="1" applyFill="1" applyAlignment="1">
      <alignment horizontal="center" vertical="center" wrapText="1"/>
    </xf>
    <xf numFmtId="0" fontId="65" fillId="33" borderId="26" xfId="0" applyFont="1" applyFill="1" applyBorder="1" applyAlignment="1">
      <alignment vertical="center" wrapText="1"/>
    </xf>
    <xf numFmtId="4" fontId="65" fillId="0" borderId="27" xfId="0" applyNumberFormat="1" applyFont="1" applyBorder="1" applyAlignment="1">
      <alignment horizontal="center" vertical="center" wrapText="1"/>
    </xf>
    <xf numFmtId="4" fontId="65" fillId="0" borderId="11" xfId="0" applyNumberFormat="1" applyFont="1" applyBorder="1" applyAlignment="1">
      <alignment horizontal="center" vertical="center" wrapText="1"/>
    </xf>
    <xf numFmtId="0" fontId="66" fillId="33" borderId="0" xfId="0" applyFont="1" applyFill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9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72" fillId="33" borderId="12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right" vertical="center"/>
    </xf>
    <xf numFmtId="0" fontId="67" fillId="33" borderId="0" xfId="0" applyFont="1" applyFill="1" applyAlignment="1">
      <alignment horizontal="right" vertical="center"/>
    </xf>
    <xf numFmtId="0" fontId="56" fillId="33" borderId="0" xfId="0" applyFont="1" applyFill="1" applyAlignment="1">
      <alignment/>
    </xf>
    <xf numFmtId="10" fontId="65" fillId="33" borderId="12" xfId="0" applyNumberFormat="1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vertical="center" wrapText="1"/>
    </xf>
    <xf numFmtId="0" fontId="69" fillId="33" borderId="12" xfId="0" applyFont="1" applyFill="1" applyBorder="1" applyAlignment="1">
      <alignment horizontal="justify" vertical="center" wrapText="1"/>
    </xf>
    <xf numFmtId="4" fontId="69" fillId="33" borderId="12" xfId="0" applyNumberFormat="1" applyFont="1" applyFill="1" applyBorder="1" applyAlignment="1">
      <alignment vertical="center" wrapText="1"/>
    </xf>
    <xf numFmtId="0" fontId="71" fillId="33" borderId="0" xfId="0" applyFont="1" applyFill="1" applyAlignment="1">
      <alignment/>
    </xf>
    <xf numFmtId="43" fontId="0" fillId="33" borderId="0" xfId="0" applyNumberFormat="1" applyFill="1" applyAlignment="1">
      <alignment/>
    </xf>
    <xf numFmtId="43" fontId="0" fillId="33" borderId="0" xfId="0" applyNumberFormat="1" applyFont="1" applyFill="1" applyAlignment="1">
      <alignment/>
    </xf>
    <xf numFmtId="0" fontId="65" fillId="0" borderId="0" xfId="0" applyFont="1" applyAlignment="1">
      <alignment horizontal="right" vertical="center" wrapText="1"/>
    </xf>
    <xf numFmtId="0" fontId="65" fillId="0" borderId="0" xfId="0" applyFont="1" applyAlignment="1">
      <alignment horizontal="left" vertical="center" wrapText="1"/>
    </xf>
    <xf numFmtId="0" fontId="81" fillId="0" borderId="28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right" vertical="center" wrapText="1"/>
    </xf>
    <xf numFmtId="0" fontId="82" fillId="0" borderId="0" xfId="0" applyFont="1" applyAlignment="1">
      <alignment horizontal="right" vertical="center" wrapText="1"/>
    </xf>
    <xf numFmtId="0" fontId="83" fillId="0" borderId="0" xfId="0" applyFont="1" applyBorder="1" applyAlignment="1">
      <alignment horizontal="right" wrapText="1"/>
    </xf>
    <xf numFmtId="0" fontId="83" fillId="0" borderId="28" xfId="0" applyFont="1" applyBorder="1" applyAlignment="1">
      <alignment horizontal="right" wrapText="1"/>
    </xf>
    <xf numFmtId="0" fontId="69" fillId="0" borderId="0" xfId="0" applyFont="1" applyAlignment="1">
      <alignment horizontal="right" vertical="center" wrapText="1"/>
    </xf>
    <xf numFmtId="0" fontId="66" fillId="0" borderId="29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right" wrapText="1"/>
    </xf>
    <xf numFmtId="0" fontId="65" fillId="0" borderId="0" xfId="0" applyFont="1" applyAlignment="1">
      <alignment vertical="center" wrapText="1"/>
    </xf>
    <xf numFmtId="0" fontId="65" fillId="0" borderId="13" xfId="0" applyFont="1" applyBorder="1" applyAlignment="1">
      <alignment horizontal="right" vertical="center" wrapText="1"/>
    </xf>
    <xf numFmtId="0" fontId="84" fillId="0" borderId="0" xfId="42" applyFont="1" applyBorder="1" applyAlignment="1">
      <alignment horizontal="right" vertical="center" wrapText="1"/>
    </xf>
    <xf numFmtId="0" fontId="84" fillId="0" borderId="13" xfId="42" applyFont="1" applyBorder="1" applyAlignment="1">
      <alignment horizontal="right" vertical="center" wrapText="1"/>
    </xf>
    <xf numFmtId="0" fontId="69" fillId="0" borderId="0" xfId="0" applyFont="1" applyAlignment="1">
      <alignment horizontal="center" vertical="center"/>
    </xf>
    <xf numFmtId="0" fontId="65" fillId="0" borderId="16" xfId="0" applyFont="1" applyBorder="1" applyAlignment="1">
      <alignment horizontal="left" vertical="center" wrapText="1"/>
    </xf>
    <xf numFmtId="0" fontId="65" fillId="0" borderId="16" xfId="0" applyFont="1" applyFill="1" applyBorder="1" applyAlignment="1">
      <alignment horizontal="left" vertical="center" wrapText="1"/>
    </xf>
    <xf numFmtId="0" fontId="85" fillId="0" borderId="0" xfId="0" applyFont="1" applyAlignment="1">
      <alignment horizontal="center"/>
    </xf>
    <xf numFmtId="0" fontId="65" fillId="0" borderId="0" xfId="0" applyFont="1" applyAlignment="1">
      <alignment horizontal="center" vertical="top"/>
    </xf>
    <xf numFmtId="4" fontId="65" fillId="0" borderId="27" xfId="0" applyNumberFormat="1" applyFont="1" applyBorder="1" applyAlignment="1">
      <alignment horizontal="center" vertical="center" wrapText="1"/>
    </xf>
    <xf numFmtId="4" fontId="65" fillId="0" borderId="11" xfId="0" applyNumberFormat="1" applyFont="1" applyBorder="1" applyAlignment="1">
      <alignment horizontal="center" vertical="center" wrapText="1"/>
    </xf>
    <xf numFmtId="0" fontId="65" fillId="0" borderId="27" xfId="0" applyFont="1" applyBorder="1" applyAlignment="1">
      <alignment vertical="center" wrapText="1"/>
    </xf>
    <xf numFmtId="0" fontId="65" fillId="0" borderId="11" xfId="0" applyFont="1" applyBorder="1" applyAlignment="1">
      <alignment vertical="center" wrapText="1"/>
    </xf>
    <xf numFmtId="0" fontId="69" fillId="0" borderId="0" xfId="0" applyFont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 wrapText="1"/>
    </xf>
    <xf numFmtId="0" fontId="69" fillId="33" borderId="27" xfId="0" applyFont="1" applyFill="1" applyBorder="1" applyAlignment="1">
      <alignment horizontal="left" vertical="center" wrapText="1"/>
    </xf>
    <xf numFmtId="0" fontId="69" fillId="33" borderId="11" xfId="0" applyFont="1" applyFill="1" applyBorder="1" applyAlignment="1">
      <alignment horizontal="left" vertical="center" wrapText="1"/>
    </xf>
    <xf numFmtId="0" fontId="66" fillId="33" borderId="0" xfId="0" applyFont="1" applyFill="1" applyAlignment="1">
      <alignment horizontal="center" vertical="center" wrapText="1"/>
    </xf>
    <xf numFmtId="0" fontId="86" fillId="33" borderId="0" xfId="0" applyFont="1" applyFill="1" applyBorder="1" applyAlignment="1">
      <alignment horizontal="center" vertical="top" wrapText="1"/>
    </xf>
    <xf numFmtId="0" fontId="52" fillId="33" borderId="0" xfId="42" applyFill="1" applyBorder="1" applyAlignment="1">
      <alignment horizontal="center" vertical="center" wrapText="1"/>
    </xf>
    <xf numFmtId="0" fontId="87" fillId="0" borderId="0" xfId="42" applyFont="1" applyFill="1" applyBorder="1" applyAlignment="1">
      <alignment horizontal="center" vertical="center" wrapText="1"/>
    </xf>
    <xf numFmtId="0" fontId="88" fillId="33" borderId="0" xfId="0" applyFont="1" applyFill="1" applyBorder="1" applyAlignment="1">
      <alignment horizontal="center" wrapText="1"/>
    </xf>
    <xf numFmtId="0" fontId="65" fillId="33" borderId="0" xfId="0" applyFont="1" applyFill="1" applyBorder="1" applyAlignment="1">
      <alignment horizontal="left" vertical="center" wrapText="1"/>
    </xf>
    <xf numFmtId="0" fontId="65" fillId="33" borderId="0" xfId="0" applyFont="1" applyFill="1" applyBorder="1" applyAlignment="1">
      <alignment horizontal="left" wrapText="1"/>
    </xf>
    <xf numFmtId="0" fontId="89" fillId="33" borderId="0" xfId="0" applyFont="1" applyFill="1" applyBorder="1" applyAlignment="1">
      <alignment horizontal="center" wrapText="1"/>
    </xf>
    <xf numFmtId="4" fontId="65" fillId="33" borderId="27" xfId="0" applyNumberFormat="1" applyFont="1" applyFill="1" applyBorder="1" applyAlignment="1">
      <alignment horizontal="center" vertical="center" wrapText="1"/>
    </xf>
    <xf numFmtId="4" fontId="65" fillId="33" borderId="11" xfId="0" applyNumberFormat="1" applyFont="1" applyFill="1" applyBorder="1" applyAlignment="1">
      <alignment horizontal="center" vertical="center" wrapText="1"/>
    </xf>
    <xf numFmtId="49" fontId="65" fillId="33" borderId="27" xfId="0" applyNumberFormat="1" applyFont="1" applyFill="1" applyBorder="1" applyAlignment="1">
      <alignment horizontal="center" vertical="center" wrapText="1"/>
    </xf>
    <xf numFmtId="49" fontId="65" fillId="33" borderId="11" xfId="0" applyNumberFormat="1" applyFont="1" applyFill="1" applyBorder="1" applyAlignment="1">
      <alignment horizontal="center" vertical="center" wrapText="1"/>
    </xf>
    <xf numFmtId="0" fontId="65" fillId="33" borderId="27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4" fontId="65" fillId="33" borderId="14" xfId="0" applyNumberFormat="1" applyFont="1" applyFill="1" applyBorder="1" applyAlignment="1">
      <alignment horizontal="center" vertical="center" wrapText="1"/>
    </xf>
    <xf numFmtId="49" fontId="65" fillId="33" borderId="14" xfId="0" applyNumberFormat="1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 wrapText="1"/>
    </xf>
    <xf numFmtId="4" fontId="69" fillId="33" borderId="27" xfId="0" applyNumberFormat="1" applyFont="1" applyFill="1" applyBorder="1" applyAlignment="1">
      <alignment horizontal="center" vertical="center" wrapText="1"/>
    </xf>
    <xf numFmtId="4" fontId="69" fillId="33" borderId="11" xfId="0" applyNumberFormat="1" applyFont="1" applyFill="1" applyBorder="1" applyAlignment="1">
      <alignment horizontal="center" vertical="center" wrapText="1"/>
    </xf>
    <xf numFmtId="49" fontId="65" fillId="0" borderId="27" xfId="0" applyNumberFormat="1" applyFont="1" applyBorder="1" applyAlignment="1">
      <alignment horizontal="center" vertical="center" wrapText="1"/>
    </xf>
    <xf numFmtId="49" fontId="65" fillId="0" borderId="11" xfId="0" applyNumberFormat="1" applyFont="1" applyBorder="1" applyAlignment="1">
      <alignment horizontal="center" vertical="center" wrapText="1"/>
    </xf>
    <xf numFmtId="49" fontId="69" fillId="33" borderId="27" xfId="0" applyNumberFormat="1" applyFont="1" applyFill="1" applyBorder="1" applyAlignment="1">
      <alignment horizontal="center" vertical="center" wrapText="1"/>
    </xf>
    <xf numFmtId="49" fontId="69" fillId="33" borderId="11" xfId="0" applyNumberFormat="1" applyFont="1" applyFill="1" applyBorder="1" applyAlignment="1">
      <alignment horizontal="center" vertical="center" wrapText="1"/>
    </xf>
    <xf numFmtId="0" fontId="69" fillId="33" borderId="27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65" fillId="33" borderId="30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52" fillId="0" borderId="27" xfId="42" applyBorder="1" applyAlignment="1">
      <alignment horizontal="center" vertical="center" wrapText="1"/>
    </xf>
    <xf numFmtId="0" fontId="52" fillId="0" borderId="14" xfId="42" applyBorder="1" applyAlignment="1">
      <alignment horizontal="center" vertical="center" wrapText="1"/>
    </xf>
    <xf numFmtId="0" fontId="52" fillId="0" borderId="11" xfId="42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33" borderId="31" xfId="0" applyFont="1" applyFill="1" applyBorder="1" applyAlignment="1">
      <alignment horizontal="center" vertical="center" wrapText="1"/>
    </xf>
    <xf numFmtId="0" fontId="52" fillId="33" borderId="27" xfId="42" applyFill="1" applyBorder="1" applyAlignment="1">
      <alignment horizontal="center" vertical="center" wrapText="1"/>
    </xf>
    <xf numFmtId="0" fontId="52" fillId="33" borderId="11" xfId="42" applyFill="1" applyBorder="1" applyAlignment="1">
      <alignment horizontal="center" vertical="center" wrapText="1"/>
    </xf>
    <xf numFmtId="0" fontId="69" fillId="33" borderId="0" xfId="0" applyFont="1" applyFill="1" applyAlignment="1">
      <alignment horizontal="center" vertical="center" wrapText="1"/>
    </xf>
    <xf numFmtId="0" fontId="69" fillId="33" borderId="30" xfId="0" applyFont="1" applyFill="1" applyBorder="1" applyAlignment="1">
      <alignment horizontal="right" vertical="center" wrapText="1"/>
    </xf>
    <xf numFmtId="0" fontId="69" fillId="33" borderId="15" xfId="0" applyFont="1" applyFill="1" applyBorder="1" applyAlignment="1">
      <alignment horizontal="right" vertical="center" wrapText="1"/>
    </xf>
    <xf numFmtId="0" fontId="69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left" vertical="center"/>
    </xf>
    <xf numFmtId="0" fontId="65" fillId="0" borderId="30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right" vertical="center" wrapText="1"/>
    </xf>
    <xf numFmtId="0" fontId="69" fillId="0" borderId="15" xfId="0" applyFont="1" applyBorder="1" applyAlignment="1">
      <alignment horizontal="right" vertical="center" wrapText="1"/>
    </xf>
    <xf numFmtId="0" fontId="65" fillId="0" borderId="0" xfId="0" applyFont="1" applyAlignment="1">
      <alignment horizontal="center" vertical="center"/>
    </xf>
    <xf numFmtId="0" fontId="65" fillId="33" borderId="32" xfId="0" applyFont="1" applyFill="1" applyBorder="1" applyAlignment="1">
      <alignment horizontal="center" vertical="center" wrapText="1"/>
    </xf>
    <xf numFmtId="0" fontId="65" fillId="33" borderId="33" xfId="0" applyFont="1" applyFill="1" applyBorder="1" applyAlignment="1">
      <alignment horizontal="center" vertical="center" wrapText="1"/>
    </xf>
    <xf numFmtId="0" fontId="65" fillId="33" borderId="24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0" fontId="65" fillId="33" borderId="34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52" fillId="33" borderId="30" xfId="42" applyFill="1" applyBorder="1" applyAlignment="1">
      <alignment horizontal="center" vertical="center" wrapText="1"/>
    </xf>
    <xf numFmtId="0" fontId="52" fillId="33" borderId="31" xfId="42" applyFill="1" applyBorder="1" applyAlignment="1">
      <alignment horizontal="center" vertical="center" wrapText="1"/>
    </xf>
    <xf numFmtId="0" fontId="52" fillId="33" borderId="15" xfId="42" applyFill="1" applyBorder="1" applyAlignment="1">
      <alignment horizontal="center" vertical="center" wrapText="1"/>
    </xf>
    <xf numFmtId="0" fontId="89" fillId="0" borderId="0" xfId="0" applyFont="1" applyAlignment="1">
      <alignment horizontal="center" wrapText="1"/>
    </xf>
    <xf numFmtId="0" fontId="65" fillId="0" borderId="0" xfId="0" applyFont="1" applyAlignment="1">
      <alignment horizontal="left" wrapText="1"/>
    </xf>
    <xf numFmtId="0" fontId="86" fillId="0" borderId="0" xfId="0" applyFont="1" applyAlignment="1">
      <alignment horizontal="center" vertical="top" wrapText="1"/>
    </xf>
    <xf numFmtId="0" fontId="88" fillId="0" borderId="0" xfId="0" applyFont="1" applyAlignment="1">
      <alignment horizontal="center" wrapText="1"/>
    </xf>
    <xf numFmtId="0" fontId="69" fillId="0" borderId="0" xfId="0" applyFont="1" applyAlignment="1">
      <alignment horizontal="left" vertical="top" wrapText="1"/>
    </xf>
    <xf numFmtId="0" fontId="66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&#1052;&#1059;&#1062;&#1041;\&#1060;&#1048;&#1053;&#1040;&#1053;&#1057;&#1054;&#1042;&#1054;%20-&#1069;&#1050;&#1054;&#1053;&#1054;&#1052;&#1048;&#1063;&#1045;&#1057;&#1050;&#1048;&#1049;%20&#1054;&#1058;&#1044;&#1045;&#1051;\&#1054;&#1041;&#1056;&#1040;&#1047;&#1054;&#1042;&#1040;&#1053;&#1048;&#1045;%20&#1048;%20&#1050;&#1059;&#1051;&#1068;&#1058;&#1059;&#1056;&#1040;%202016&#1075;\&#1055;&#1056;&#1054;&#1045;&#1050;&#1058;%20&#1041;&#1070;&#1044;&#1046;&#1045;&#1058;&#1040;%202018&#1075;\&#1055;&#1088;&#1086;&#1077;&#1082;&#1090;%20&#1087;&#1088;&#1080;&#1082;&#1072;&#1079;&#1072;%20&#1087;&#1086;%20&#1082;&#1086;&#1084;&#1084;&#1091;&#1085;&#1072;&#1083;&#1082;&#1077;%202018%20&#1075;&#1086;&#107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!&#1052;&#1059;&#1062;&#1041;\&#1060;&#1048;&#1053;&#1040;&#1053;&#1057;&#1054;&#1042;&#1054;%20-&#1069;&#1050;&#1054;&#1053;&#1054;&#1052;&#1048;&#1063;&#1045;&#1057;&#1050;&#1048;&#1049;%20&#1054;&#1058;&#1044;&#1045;&#1051;\&#1054;&#1041;&#1056;&#1040;&#1047;&#1054;&#1042;&#1040;&#1053;&#1048;&#1045;%20&#1048;%20&#1050;&#1059;&#1051;&#1068;&#1058;&#1059;&#1056;&#1040;%202016&#1075;\&#1055;&#1056;&#1054;&#1045;&#1050;&#1058;%20&#1041;&#1070;&#1044;&#1046;&#1045;&#1058;&#1040;%202018&#1075;\&#1050;&#1055;%20&#1085;&#1072;%202018%20&#1075;&#1086;&#1076;\&#1089;&#1072;&#1076;&#1099;\&#1050;&#1055;%20&#1072;&#1074;&#1090;&#1086;&#1085;&#1086;&#1084;&#1085;&#1099;&#1077;%20&#1089;&#1072;&#1076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й для учреждений"/>
      <sheetName val="тарифы"/>
    </sheetNames>
    <sheetDataSet>
      <sheetData sheetId="0">
        <row r="90">
          <cell r="D90">
            <v>344.40999999999997</v>
          </cell>
          <cell r="E90">
            <v>2133.3506</v>
          </cell>
          <cell r="H90">
            <v>106.82</v>
          </cell>
          <cell r="I90">
            <v>664.98608</v>
          </cell>
          <cell r="L90">
            <v>41.068000000000005</v>
          </cell>
          <cell r="M90">
            <v>294.4408</v>
          </cell>
          <cell r="P90">
            <v>2232</v>
          </cell>
          <cell r="Q90">
            <v>126.13476</v>
          </cell>
          <cell r="T90">
            <v>1078.935</v>
          </cell>
          <cell r="U90">
            <v>61.0296</v>
          </cell>
          <cell r="X90">
            <v>3310.9350000000004</v>
          </cell>
          <cell r="Y90">
            <v>149.83136</v>
          </cell>
          <cell r="Z90">
            <v>3429.7732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с 1"/>
      <sheetName val="дс 2"/>
      <sheetName val="дс 3"/>
      <sheetName val="дс 4"/>
      <sheetName val="дс 6"/>
      <sheetName val="дс 7"/>
      <sheetName val="дс 8"/>
      <sheetName val="дс 11"/>
      <sheetName val="дс 16"/>
      <sheetName val="дс 17"/>
      <sheetName val="дс 22"/>
      <sheetName val="дс 28"/>
      <sheetName val="дс 29"/>
      <sheetName val="дс 39"/>
      <sheetName val="дс 41"/>
      <sheetName val="дс 42"/>
      <sheetName val="дс 43"/>
      <sheetName val="дс 46"/>
      <sheetName val="дс 50"/>
      <sheetName val="дс 51"/>
      <sheetName val="дс 56"/>
      <sheetName val="дс 57"/>
      <sheetName val="дс 58"/>
      <sheetName val="дс 70"/>
      <sheetName val="свод"/>
      <sheetName val="Лист1"/>
    </sheetNames>
    <sheetDataSet>
      <sheetData sheetId="20">
        <row r="6">
          <cell r="R6">
            <v>2160</v>
          </cell>
        </row>
        <row r="7">
          <cell r="R7">
            <v>24000</v>
          </cell>
        </row>
        <row r="9">
          <cell r="R9">
            <v>38000</v>
          </cell>
        </row>
        <row r="36">
          <cell r="R36">
            <v>1012760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C513630DD0A2F9B2EC0205798B851993A5251DC8FCD4308CDDA19182ECC2154EE9666872F0FB998HANDC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C513630DD0A2F9B2EC0205798B851993A5256DB8AC84308CDDA19182EHCNCC" TargetMode="External" /><Relationship Id="rId2" Type="http://schemas.openxmlformats.org/officeDocument/2006/relationships/hyperlink" Target="consultantplus://offline/ref=EC513630DD0A2F9B2EC0205798B851993A5256DC8DCE4308CDDA19182EHCNCC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C513630DD0A2F9B2EC0205798B851993A5251D08ECB4308CDDA19182ECC2154EE9666852E0BHBNDC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C513630DD0A2F9B2EC0205798B851993A5251D08ECB4308CDDA19182ECC2154EE9666852E0BHBNDC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C513630DD0A2F9B2EC0205798B851993A5251D08ECB4308CDDA19182ECC2154EE9666852E0BHBNDC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85"/>
  <sheetViews>
    <sheetView view="pageBreakPreview" zoomScale="60" zoomScalePageLayoutView="0" workbookViewId="0" topLeftCell="A1">
      <selection activeCell="D54" sqref="D54:D85"/>
    </sheetView>
  </sheetViews>
  <sheetFormatPr defaultColWidth="28.8515625" defaultRowHeight="15"/>
  <cols>
    <col min="1" max="1" width="6.421875" style="20" customWidth="1"/>
    <col min="2" max="2" width="8.140625" style="20" customWidth="1"/>
    <col min="3" max="3" width="54.00390625" style="20" customWidth="1"/>
    <col min="4" max="4" width="39.7109375" style="20" customWidth="1"/>
    <col min="5" max="5" width="24.7109375" style="20" customWidth="1"/>
    <col min="6" max="6" width="23.57421875" style="20" customWidth="1"/>
    <col min="7" max="7" width="30.8515625" style="20" customWidth="1"/>
    <col min="8" max="8" width="21.7109375" style="20" customWidth="1"/>
    <col min="9" max="9" width="16.57421875" style="20" customWidth="1"/>
    <col min="10" max="10" width="15.421875" style="29" customWidth="1"/>
    <col min="11" max="11" width="16.8515625" style="29" customWidth="1"/>
    <col min="12" max="12" width="23.8515625" style="29" customWidth="1"/>
    <col min="13" max="16384" width="28.8515625" style="29" customWidth="1"/>
  </cols>
  <sheetData>
    <row r="1" spans="5:9" ht="18.75" customHeight="1">
      <c r="E1" s="238" t="s">
        <v>39</v>
      </c>
      <c r="F1" s="238"/>
      <c r="G1" s="238"/>
      <c r="H1" s="25"/>
      <c r="I1" s="25"/>
    </row>
    <row r="2" spans="5:9" ht="109.5" customHeight="1">
      <c r="E2" s="239" t="s">
        <v>317</v>
      </c>
      <c r="F2" s="239"/>
      <c r="G2" s="239"/>
      <c r="H2" s="25"/>
      <c r="I2" s="25"/>
    </row>
    <row r="3" spans="5:7" ht="34.5" customHeight="1">
      <c r="E3" s="242" t="s">
        <v>28</v>
      </c>
      <c r="F3" s="242"/>
      <c r="G3" s="242"/>
    </row>
    <row r="4" spans="5:7" ht="64.5" customHeight="1">
      <c r="E4" s="240" t="s">
        <v>347</v>
      </c>
      <c r="F4" s="240"/>
      <c r="G4" s="240"/>
    </row>
    <row r="5" spans="4:7" ht="18.75" customHeight="1">
      <c r="D5" s="26" t="s">
        <v>196</v>
      </c>
      <c r="E5" s="241" t="s">
        <v>194</v>
      </c>
      <c r="F5" s="241"/>
      <c r="G5" s="241"/>
    </row>
    <row r="6" spans="5:7" ht="30" customHeight="1">
      <c r="E6" s="243" t="s">
        <v>348</v>
      </c>
      <c r="F6" s="243"/>
      <c r="G6" s="243"/>
    </row>
    <row r="7" spans="5:7" ht="18.75" customHeight="1">
      <c r="E7" s="244"/>
      <c r="F7" s="244"/>
      <c r="G7" s="244"/>
    </row>
    <row r="8" spans="5:7" ht="18.75" customHeight="1">
      <c r="E8" s="241" t="s">
        <v>29</v>
      </c>
      <c r="F8" s="241"/>
      <c r="G8" s="241"/>
    </row>
    <row r="9" spans="5:7" ht="34.5" customHeight="1">
      <c r="E9" s="238" t="s">
        <v>350</v>
      </c>
      <c r="F9" s="238"/>
      <c r="G9" s="238"/>
    </row>
    <row r="10" spans="1:9" s="75" customFormat="1" ht="12.75" customHeight="1">
      <c r="A10" s="73"/>
      <c r="B10" s="73"/>
      <c r="C10" s="73"/>
      <c r="D10" s="73"/>
      <c r="E10" s="74"/>
      <c r="F10" s="74"/>
      <c r="G10" s="74"/>
      <c r="H10" s="73"/>
      <c r="I10" s="73"/>
    </row>
    <row r="11" spans="5:7" ht="18.75" customHeight="1">
      <c r="E11" s="245" t="s">
        <v>380</v>
      </c>
      <c r="F11" s="245"/>
      <c r="G11" s="245"/>
    </row>
    <row r="12" spans="5:7" ht="18.75" customHeight="1">
      <c r="E12" s="245" t="s">
        <v>349</v>
      </c>
      <c r="F12" s="245"/>
      <c r="G12" s="245"/>
    </row>
    <row r="13" spans="5:7" ht="18.75" customHeight="1">
      <c r="E13" s="238" t="s">
        <v>351</v>
      </c>
      <c r="F13" s="238"/>
      <c r="G13" s="238"/>
    </row>
    <row r="14" spans="5:7" ht="63.75" customHeight="1">
      <c r="E14" s="247" t="s">
        <v>314</v>
      </c>
      <c r="F14" s="247"/>
      <c r="G14" s="247"/>
    </row>
    <row r="15" spans="5:7" ht="18.75" customHeight="1">
      <c r="E15" s="246" t="s">
        <v>195</v>
      </c>
      <c r="F15" s="246"/>
      <c r="G15" s="246"/>
    </row>
    <row r="16" spans="5:7" ht="18.75" customHeight="1">
      <c r="E16" s="247" t="s">
        <v>315</v>
      </c>
      <c r="F16" s="247"/>
      <c r="G16" s="247"/>
    </row>
    <row r="17" spans="5:7" ht="17.25" customHeight="1">
      <c r="E17" s="248" t="s">
        <v>30</v>
      </c>
      <c r="F17" s="248"/>
      <c r="G17" s="248"/>
    </row>
    <row r="18" spans="1:9" s="43" customFormat="1" ht="12" customHeight="1" thickBot="1">
      <c r="A18" s="42"/>
      <c r="B18" s="42"/>
      <c r="C18" s="42"/>
      <c r="D18" s="42"/>
      <c r="E18" s="53"/>
      <c r="F18" s="53"/>
      <c r="G18" s="53"/>
      <c r="H18" s="42"/>
      <c r="I18" s="42"/>
    </row>
    <row r="19" spans="1:7" ht="19.5" thickBot="1">
      <c r="A19" s="249"/>
      <c r="F19" s="5"/>
      <c r="G19" s="27" t="s">
        <v>31</v>
      </c>
    </row>
    <row r="20" spans="1:7" ht="19.5" thickBot="1">
      <c r="A20" s="249"/>
      <c r="E20" s="26"/>
      <c r="F20" s="23" t="s">
        <v>32</v>
      </c>
      <c r="G20" s="4"/>
    </row>
    <row r="21" spans="1:8" ht="19.5" thickBot="1">
      <c r="A21" s="249"/>
      <c r="E21" s="26"/>
      <c r="F21" s="23" t="s">
        <v>33</v>
      </c>
      <c r="G21" s="55">
        <v>53032827</v>
      </c>
      <c r="H21" s="54"/>
    </row>
    <row r="22" spans="1:7" ht="55.5" customHeight="1" thickBot="1">
      <c r="A22" s="249"/>
      <c r="E22" s="241" t="s">
        <v>34</v>
      </c>
      <c r="F22" s="250"/>
      <c r="G22" s="28"/>
    </row>
    <row r="23" spans="1:7" ht="19.5" thickBot="1">
      <c r="A23" s="249"/>
      <c r="E23" s="26"/>
      <c r="F23" s="23" t="s">
        <v>35</v>
      </c>
      <c r="G23" s="46">
        <v>4100018520</v>
      </c>
    </row>
    <row r="24" spans="1:7" ht="19.5" thickBot="1">
      <c r="A24" s="249"/>
      <c r="E24" s="26"/>
      <c r="F24" s="23" t="s">
        <v>36</v>
      </c>
      <c r="G24" s="46">
        <v>410101001</v>
      </c>
    </row>
    <row r="25" spans="1:7" ht="31.5" customHeight="1" thickBot="1">
      <c r="A25" s="249"/>
      <c r="E25" s="251" t="s">
        <v>37</v>
      </c>
      <c r="F25" s="252"/>
      <c r="G25" s="28">
        <v>383</v>
      </c>
    </row>
    <row r="26" spans="1:7" ht="75" customHeight="1" thickBot="1">
      <c r="A26" s="249"/>
      <c r="E26" s="241" t="s">
        <v>38</v>
      </c>
      <c r="F26" s="250"/>
      <c r="G26" s="4"/>
    </row>
    <row r="28" spans="1:6" ht="24" customHeight="1">
      <c r="A28" s="253" t="s">
        <v>26</v>
      </c>
      <c r="B28" s="253"/>
      <c r="C28" s="253"/>
      <c r="D28" s="253"/>
      <c r="E28" s="253"/>
      <c r="F28" s="253"/>
    </row>
    <row r="29" ht="18.75">
      <c r="B29" s="24"/>
    </row>
    <row r="30" spans="1:9" ht="57.75" customHeight="1">
      <c r="A30" s="239" t="s">
        <v>252</v>
      </c>
      <c r="B30" s="239"/>
      <c r="C30" s="239"/>
      <c r="D30" s="239"/>
      <c r="E30" s="239"/>
      <c r="F30" s="239"/>
      <c r="G30" s="239"/>
      <c r="H30" s="17"/>
      <c r="I30" s="17"/>
    </row>
    <row r="31" spans="1:9" ht="57.75" customHeight="1">
      <c r="A31" s="239" t="s">
        <v>251</v>
      </c>
      <c r="B31" s="239"/>
      <c r="C31" s="239"/>
      <c r="D31" s="239"/>
      <c r="E31" s="239"/>
      <c r="F31" s="239"/>
      <c r="G31" s="239"/>
      <c r="H31" s="25"/>
      <c r="I31" s="25"/>
    </row>
    <row r="32" spans="1:9" ht="57.75" customHeight="1">
      <c r="A32" s="239" t="s">
        <v>27</v>
      </c>
      <c r="B32" s="239"/>
      <c r="C32" s="239"/>
      <c r="D32" s="239"/>
      <c r="E32" s="239"/>
      <c r="F32" s="239"/>
      <c r="G32" s="239"/>
      <c r="H32" s="25"/>
      <c r="I32" s="25"/>
    </row>
    <row r="33" spans="1:9" ht="18.75" customHeight="1">
      <c r="A33" s="22"/>
      <c r="B33" s="22"/>
      <c r="C33" s="22"/>
      <c r="D33" s="22"/>
      <c r="E33" s="22"/>
      <c r="F33" s="22"/>
      <c r="G33" s="22"/>
      <c r="H33" s="25"/>
      <c r="I33" s="25"/>
    </row>
    <row r="34" spans="1:9" ht="22.5" customHeight="1">
      <c r="A34" s="22"/>
      <c r="B34" s="22"/>
      <c r="C34" s="22"/>
      <c r="D34" s="22"/>
      <c r="E34" s="22"/>
      <c r="F34" s="22"/>
      <c r="G34" s="22"/>
      <c r="H34" s="25"/>
      <c r="I34" s="25"/>
    </row>
    <row r="35" spans="1:9" s="43" customFormat="1" ht="52.5" customHeight="1">
      <c r="A35" s="254" t="s">
        <v>325</v>
      </c>
      <c r="B35" s="254"/>
      <c r="C35" s="254"/>
      <c r="D35" s="254"/>
      <c r="E35" s="254"/>
      <c r="F35" s="254"/>
      <c r="G35" s="254"/>
      <c r="H35" s="41"/>
      <c r="I35" s="41"/>
    </row>
    <row r="36" spans="1:9" s="43" customFormat="1" ht="52.5" customHeight="1">
      <c r="A36" s="45"/>
      <c r="B36" s="254" t="s">
        <v>44</v>
      </c>
      <c r="C36" s="254"/>
      <c r="D36" s="254"/>
      <c r="E36" s="254"/>
      <c r="F36" s="254"/>
      <c r="G36" s="47">
        <f>G38+G39+G40+G41</f>
        <v>21655627</v>
      </c>
      <c r="H36" s="41"/>
      <c r="I36" s="41"/>
    </row>
    <row r="37" spans="1:9" s="43" customFormat="1" ht="52.5" customHeight="1">
      <c r="A37" s="45"/>
      <c r="B37" s="254" t="s">
        <v>22</v>
      </c>
      <c r="C37" s="254"/>
      <c r="D37" s="254"/>
      <c r="E37" s="254"/>
      <c r="F37" s="254"/>
      <c r="G37" s="47"/>
      <c r="H37" s="41"/>
      <c r="I37" s="41"/>
    </row>
    <row r="38" spans="1:9" s="81" customFormat="1" ht="52.5" customHeight="1">
      <c r="A38" s="82"/>
      <c r="B38" s="255" t="s">
        <v>245</v>
      </c>
      <c r="C38" s="255"/>
      <c r="D38" s="255"/>
      <c r="E38" s="255"/>
      <c r="F38" s="255"/>
      <c r="G38" s="83">
        <v>21655627</v>
      </c>
      <c r="H38" s="84"/>
      <c r="I38" s="84"/>
    </row>
    <row r="39" spans="1:9" s="43" customFormat="1" ht="52.5" customHeight="1">
      <c r="A39" s="45"/>
      <c r="B39" s="254" t="s">
        <v>246</v>
      </c>
      <c r="C39" s="254"/>
      <c r="D39" s="254"/>
      <c r="E39" s="254"/>
      <c r="F39" s="254"/>
      <c r="G39" s="47"/>
      <c r="H39" s="41"/>
      <c r="I39" s="41"/>
    </row>
    <row r="40" spans="1:9" s="43" customFormat="1" ht="52.5" customHeight="1">
      <c r="A40" s="45"/>
      <c r="B40" s="254" t="s">
        <v>247</v>
      </c>
      <c r="C40" s="254"/>
      <c r="D40" s="254"/>
      <c r="E40" s="254"/>
      <c r="F40" s="254"/>
      <c r="G40" s="47"/>
      <c r="H40" s="41"/>
      <c r="I40" s="41"/>
    </row>
    <row r="41" spans="1:9" s="43" customFormat="1" ht="52.5" customHeight="1">
      <c r="A41" s="45"/>
      <c r="B41" s="254" t="s">
        <v>248</v>
      </c>
      <c r="C41" s="254"/>
      <c r="D41" s="254"/>
      <c r="E41" s="254"/>
      <c r="F41" s="254"/>
      <c r="G41" s="47"/>
      <c r="H41" s="41"/>
      <c r="I41" s="41"/>
    </row>
    <row r="42" spans="1:9" s="43" customFormat="1" ht="52.5" customHeight="1">
      <c r="A42" s="254" t="s">
        <v>326</v>
      </c>
      <c r="B42" s="254"/>
      <c r="C42" s="254"/>
      <c r="D42" s="254"/>
      <c r="E42" s="254"/>
      <c r="F42" s="254"/>
      <c r="G42" s="254"/>
      <c r="H42" s="41"/>
      <c r="I42" s="41"/>
    </row>
    <row r="43" spans="1:9" s="43" customFormat="1" ht="52.5" customHeight="1">
      <c r="A43" s="45"/>
      <c r="B43" s="254" t="s">
        <v>44</v>
      </c>
      <c r="C43" s="254"/>
      <c r="D43" s="254"/>
      <c r="E43" s="254"/>
      <c r="F43" s="254"/>
      <c r="G43" s="47">
        <v>10415778.23</v>
      </c>
      <c r="H43" s="41"/>
      <c r="I43" s="41"/>
    </row>
    <row r="44" spans="1:9" s="43" customFormat="1" ht="52.5" customHeight="1">
      <c r="A44" s="45"/>
      <c r="B44" s="254" t="s">
        <v>22</v>
      </c>
      <c r="C44" s="254"/>
      <c r="D44" s="254"/>
      <c r="E44" s="254"/>
      <c r="F44" s="254"/>
      <c r="G44" s="47"/>
      <c r="H44" s="41"/>
      <c r="I44" s="41"/>
    </row>
    <row r="45" spans="1:9" s="81" customFormat="1" ht="52.5" customHeight="1">
      <c r="A45" s="82"/>
      <c r="B45" s="255" t="s">
        <v>249</v>
      </c>
      <c r="C45" s="255"/>
      <c r="D45" s="255"/>
      <c r="E45" s="255"/>
      <c r="F45" s="255"/>
      <c r="G45" s="83">
        <v>590741.1</v>
      </c>
      <c r="H45" s="84"/>
      <c r="I45" s="84"/>
    </row>
    <row r="46" spans="1:9" s="81" customFormat="1" ht="52.5" customHeight="1">
      <c r="A46" s="82"/>
      <c r="B46" s="255" t="s">
        <v>250</v>
      </c>
      <c r="C46" s="255"/>
      <c r="D46" s="255"/>
      <c r="E46" s="255"/>
      <c r="F46" s="255"/>
      <c r="G46" s="83">
        <v>5252439.75</v>
      </c>
      <c r="H46" s="84"/>
      <c r="I46" s="84"/>
    </row>
    <row r="47" spans="1:9" ht="18.75" customHeight="1">
      <c r="A47" s="22"/>
      <c r="B47" s="22"/>
      <c r="C47" s="22"/>
      <c r="D47" s="22"/>
      <c r="E47" s="22"/>
      <c r="F47" s="22"/>
      <c r="G47" s="22"/>
      <c r="H47" s="25"/>
      <c r="I47" s="25"/>
    </row>
    <row r="48" spans="1:6" ht="37.5" customHeight="1">
      <c r="A48" s="25"/>
      <c r="B48" s="262" t="s">
        <v>24</v>
      </c>
      <c r="C48" s="262"/>
      <c r="D48" s="262"/>
      <c r="E48" s="262"/>
      <c r="F48" s="25"/>
    </row>
    <row r="49" spans="1:6" ht="19.5" customHeight="1">
      <c r="A49" s="7"/>
      <c r="B49" s="256" t="s">
        <v>352</v>
      </c>
      <c r="C49" s="256"/>
      <c r="D49" s="256"/>
      <c r="E49" s="7"/>
      <c r="F49" s="7"/>
    </row>
    <row r="50" spans="1:6" ht="20.25" customHeight="1">
      <c r="A50" s="18"/>
      <c r="B50" s="257" t="s">
        <v>25</v>
      </c>
      <c r="C50" s="257"/>
      <c r="D50" s="257"/>
      <c r="E50" s="18"/>
      <c r="F50" s="18"/>
    </row>
    <row r="51" spans="3:4" ht="20.25" customHeight="1" thickBot="1">
      <c r="C51" s="24"/>
      <c r="D51" s="20" t="s">
        <v>94</v>
      </c>
    </row>
    <row r="52" spans="2:5" ht="19.5" thickBot="1">
      <c r="B52" s="1" t="s">
        <v>0</v>
      </c>
      <c r="C52" s="27" t="s">
        <v>1</v>
      </c>
      <c r="D52" s="27" t="s">
        <v>2</v>
      </c>
      <c r="E52" s="9"/>
    </row>
    <row r="53" spans="2:5" ht="18" customHeight="1" thickBot="1">
      <c r="B53" s="21">
        <v>1</v>
      </c>
      <c r="C53" s="28">
        <v>2</v>
      </c>
      <c r="D53" s="28">
        <v>3</v>
      </c>
      <c r="E53" s="9"/>
    </row>
    <row r="54" spans="2:5" ht="25.5" customHeight="1" thickBot="1">
      <c r="B54" s="19"/>
      <c r="C54" s="28" t="s">
        <v>3</v>
      </c>
      <c r="D54" s="15">
        <v>61451461.16</v>
      </c>
      <c r="E54" s="10"/>
    </row>
    <row r="55" spans="2:5" ht="18" customHeight="1">
      <c r="B55" s="260"/>
      <c r="C55" s="6" t="s">
        <v>4</v>
      </c>
      <c r="D55" s="258">
        <v>21655627</v>
      </c>
      <c r="E55" s="10"/>
    </row>
    <row r="56" spans="2:5" ht="27.75" customHeight="1" thickBot="1">
      <c r="B56" s="261"/>
      <c r="C56" s="14" t="s">
        <v>5</v>
      </c>
      <c r="D56" s="259"/>
      <c r="E56" s="10"/>
    </row>
    <row r="57" spans="2:5" ht="29.25" customHeight="1" thickBot="1">
      <c r="B57" s="19"/>
      <c r="C57" s="28" t="s">
        <v>6</v>
      </c>
      <c r="D57" s="15">
        <v>11113726.66</v>
      </c>
      <c r="E57" s="10"/>
    </row>
    <row r="58" spans="2:5" ht="35.25" customHeight="1" thickBot="1">
      <c r="B58" s="19"/>
      <c r="C58" s="28" t="s">
        <v>7</v>
      </c>
      <c r="D58" s="15">
        <v>5252439.75</v>
      </c>
      <c r="E58" s="10"/>
    </row>
    <row r="59" spans="2:5" ht="35.25" customHeight="1" thickBot="1">
      <c r="B59" s="19"/>
      <c r="C59" s="28" t="s">
        <v>6</v>
      </c>
      <c r="D59" s="15">
        <v>2814250.85</v>
      </c>
      <c r="E59" s="10"/>
    </row>
    <row r="60" spans="1:9" s="44" customFormat="1" ht="35.25" customHeight="1" thickBot="1">
      <c r="A60" s="48"/>
      <c r="B60" s="49"/>
      <c r="C60" s="50" t="s">
        <v>8</v>
      </c>
      <c r="D60" s="51">
        <f>D61+37098.61+13423.31+0.08</f>
        <v>544574.63</v>
      </c>
      <c r="E60" s="52"/>
      <c r="F60" s="48"/>
      <c r="G60" s="48"/>
      <c r="H60" s="48"/>
      <c r="I60" s="48"/>
    </row>
    <row r="61" spans="2:5" ht="18" customHeight="1">
      <c r="B61" s="260"/>
      <c r="C61" s="6" t="s">
        <v>4</v>
      </c>
      <c r="D61" s="258">
        <v>494052.63</v>
      </c>
      <c r="E61" s="10"/>
    </row>
    <row r="62" spans="2:5" ht="27" customHeight="1" thickBot="1">
      <c r="B62" s="261"/>
      <c r="C62" s="14" t="s">
        <v>9</v>
      </c>
      <c r="D62" s="259"/>
      <c r="E62" s="10"/>
    </row>
    <row r="63" spans="2:5" ht="18" customHeight="1">
      <c r="B63" s="260"/>
      <c r="C63" s="6" t="s">
        <v>4</v>
      </c>
      <c r="D63" s="258">
        <f>D61</f>
        <v>494052.63</v>
      </c>
      <c r="E63" s="10"/>
    </row>
    <row r="64" spans="2:5" ht="29.25" customHeight="1" thickBot="1">
      <c r="B64" s="261"/>
      <c r="C64" s="14" t="s">
        <v>10</v>
      </c>
      <c r="D64" s="259"/>
      <c r="E64" s="10"/>
    </row>
    <row r="65" spans="2:5" ht="59.25" customHeight="1" thickBot="1">
      <c r="B65" s="19"/>
      <c r="C65" s="14" t="s">
        <v>11</v>
      </c>
      <c r="D65" s="15">
        <v>0</v>
      </c>
      <c r="E65" s="10"/>
    </row>
    <row r="66" spans="2:5" ht="46.5" customHeight="1" thickBot="1">
      <c r="B66" s="19"/>
      <c r="C66" s="14" t="s">
        <v>12</v>
      </c>
      <c r="D66" s="15">
        <v>0</v>
      </c>
      <c r="E66" s="10"/>
    </row>
    <row r="67" spans="1:9" s="81" customFormat="1" ht="46.5" customHeight="1" thickBot="1">
      <c r="A67" s="76"/>
      <c r="B67" s="77"/>
      <c r="C67" s="78" t="s">
        <v>13</v>
      </c>
      <c r="D67" s="79">
        <f>D68+D70+D71</f>
        <v>50522</v>
      </c>
      <c r="E67" s="80"/>
      <c r="F67" s="76"/>
      <c r="G67" s="76"/>
      <c r="H67" s="76"/>
      <c r="I67" s="76"/>
    </row>
    <row r="68" spans="2:5" ht="18" customHeight="1">
      <c r="B68" s="260"/>
      <c r="C68" s="6" t="s">
        <v>4</v>
      </c>
      <c r="D68" s="258">
        <v>13423.31</v>
      </c>
      <c r="E68" s="10"/>
    </row>
    <row r="69" spans="2:5" ht="35.25" customHeight="1" thickBot="1">
      <c r="B69" s="261"/>
      <c r="C69" s="14" t="s">
        <v>14</v>
      </c>
      <c r="D69" s="259"/>
      <c r="E69" s="10"/>
    </row>
    <row r="70" spans="2:5" ht="35.25" customHeight="1" thickBot="1">
      <c r="B70" s="19"/>
      <c r="C70" s="14" t="s">
        <v>15</v>
      </c>
      <c r="D70" s="15">
        <v>37098.69</v>
      </c>
      <c r="E70" s="10"/>
    </row>
    <row r="71" spans="2:5" ht="35.25" customHeight="1" thickBot="1">
      <c r="B71" s="19"/>
      <c r="C71" s="14" t="s">
        <v>16</v>
      </c>
      <c r="D71" s="15">
        <v>0</v>
      </c>
      <c r="E71" s="10"/>
    </row>
    <row r="72" spans="2:5" ht="32.25" customHeight="1" thickBot="1">
      <c r="B72" s="19"/>
      <c r="C72" s="28" t="s">
        <v>17</v>
      </c>
      <c r="D72" s="15">
        <v>872266.02</v>
      </c>
      <c r="E72" s="10"/>
    </row>
    <row r="73" spans="2:5" ht="18" customHeight="1">
      <c r="B73" s="260"/>
      <c r="C73" s="6" t="s">
        <v>4</v>
      </c>
      <c r="D73" s="258">
        <v>0</v>
      </c>
      <c r="E73" s="10"/>
    </row>
    <row r="74" spans="2:5" ht="18" customHeight="1" thickBot="1">
      <c r="B74" s="261"/>
      <c r="C74" s="14" t="s">
        <v>18</v>
      </c>
      <c r="D74" s="259"/>
      <c r="E74" s="10"/>
    </row>
    <row r="75" spans="1:9" s="81" customFormat="1" ht="42.75" customHeight="1" thickBot="1">
      <c r="A75" s="76"/>
      <c r="B75" s="77"/>
      <c r="C75" s="78" t="s">
        <v>19</v>
      </c>
      <c r="D75" s="79">
        <f>D76+D78</f>
        <v>872266.02</v>
      </c>
      <c r="E75" s="80"/>
      <c r="F75" s="76"/>
      <c r="G75" s="76"/>
      <c r="H75" s="76"/>
      <c r="I75" s="76"/>
    </row>
    <row r="76" spans="2:5" ht="18" customHeight="1">
      <c r="B76" s="260"/>
      <c r="C76" s="6" t="s">
        <v>4</v>
      </c>
      <c r="D76" s="258">
        <v>264054.4</v>
      </c>
      <c r="E76" s="10"/>
    </row>
    <row r="77" spans="2:5" ht="87" customHeight="1" thickBot="1">
      <c r="B77" s="261"/>
      <c r="C77" s="14" t="s">
        <v>20</v>
      </c>
      <c r="D77" s="259"/>
      <c r="E77" s="10"/>
    </row>
    <row r="78" spans="2:5" ht="87" customHeight="1" thickBot="1">
      <c r="B78" s="19"/>
      <c r="C78" s="14" t="s">
        <v>21</v>
      </c>
      <c r="D78" s="15">
        <v>608211.62</v>
      </c>
      <c r="E78" s="10"/>
    </row>
    <row r="79" spans="2:5" ht="18" customHeight="1">
      <c r="B79" s="260"/>
      <c r="C79" s="6" t="s">
        <v>22</v>
      </c>
      <c r="D79" s="258">
        <v>0</v>
      </c>
      <c r="E79" s="10"/>
    </row>
    <row r="80" spans="2:5" ht="45.75" customHeight="1" thickBot="1">
      <c r="B80" s="261"/>
      <c r="C80" s="14" t="s">
        <v>23</v>
      </c>
      <c r="D80" s="259"/>
      <c r="E80" s="10"/>
    </row>
    <row r="81" spans="2:5" ht="18" customHeight="1">
      <c r="B81" s="263"/>
      <c r="C81" s="6" t="s">
        <v>4</v>
      </c>
      <c r="D81" s="217"/>
      <c r="E81" s="10"/>
    </row>
    <row r="82" spans="2:5" ht="63.75" customHeight="1" thickBot="1">
      <c r="B82" s="264"/>
      <c r="C82" s="14" t="s">
        <v>20</v>
      </c>
      <c r="D82" s="218">
        <v>0</v>
      </c>
      <c r="E82" s="10"/>
    </row>
    <row r="83" spans="2:5" ht="79.5" customHeight="1" thickBot="1">
      <c r="B83" s="21"/>
      <c r="C83" s="14" t="s">
        <v>21</v>
      </c>
      <c r="D83" s="15">
        <v>0</v>
      </c>
      <c r="E83" s="9"/>
    </row>
    <row r="84" spans="2:5" ht="18" customHeight="1">
      <c r="B84" s="263"/>
      <c r="C84" s="6" t="s">
        <v>22</v>
      </c>
      <c r="D84" s="217"/>
      <c r="E84" s="10"/>
    </row>
    <row r="85" spans="2:5" ht="48" customHeight="1" thickBot="1">
      <c r="B85" s="264"/>
      <c r="C85" s="14" t="s">
        <v>23</v>
      </c>
      <c r="D85" s="218">
        <v>0</v>
      </c>
      <c r="E85" s="10"/>
    </row>
  </sheetData>
  <sheetProtection/>
  <mergeCells count="54">
    <mergeCell ref="B48:E48"/>
    <mergeCell ref="B79:B80"/>
    <mergeCell ref="D79:D80"/>
    <mergeCell ref="B81:B82"/>
    <mergeCell ref="B84:B85"/>
    <mergeCell ref="B68:B69"/>
    <mergeCell ref="D68:D69"/>
    <mergeCell ref="B73:B74"/>
    <mergeCell ref="D73:D74"/>
    <mergeCell ref="B76:B77"/>
    <mergeCell ref="D76:D77"/>
    <mergeCell ref="B55:B56"/>
    <mergeCell ref="D55:D56"/>
    <mergeCell ref="B61:B62"/>
    <mergeCell ref="D61:D62"/>
    <mergeCell ref="B63:B64"/>
    <mergeCell ref="D63:D64"/>
    <mergeCell ref="B44:F44"/>
    <mergeCell ref="B45:F45"/>
    <mergeCell ref="B46:F46"/>
    <mergeCell ref="B49:D49"/>
    <mergeCell ref="B50:D50"/>
    <mergeCell ref="B38:F38"/>
    <mergeCell ref="B39:F39"/>
    <mergeCell ref="B40:F40"/>
    <mergeCell ref="B41:F41"/>
    <mergeCell ref="A42:G42"/>
    <mergeCell ref="B43:F43"/>
    <mergeCell ref="A30:G30"/>
    <mergeCell ref="A31:G31"/>
    <mergeCell ref="A32:G32"/>
    <mergeCell ref="A35:G35"/>
    <mergeCell ref="B36:F36"/>
    <mergeCell ref="B37:F37"/>
    <mergeCell ref="E17:G17"/>
    <mergeCell ref="A19:A26"/>
    <mergeCell ref="E22:F22"/>
    <mergeCell ref="E25:F25"/>
    <mergeCell ref="E26:F26"/>
    <mergeCell ref="A28:F28"/>
    <mergeCell ref="E8:G8"/>
    <mergeCell ref="E11:G11"/>
    <mergeCell ref="E12:G12"/>
    <mergeCell ref="E13:G13"/>
    <mergeCell ref="E15:G15"/>
    <mergeCell ref="E16:G16"/>
    <mergeCell ref="E14:G14"/>
    <mergeCell ref="E9:G9"/>
    <mergeCell ref="E1:G1"/>
    <mergeCell ref="E2:G2"/>
    <mergeCell ref="E4:G4"/>
    <mergeCell ref="E5:G5"/>
    <mergeCell ref="E3:G3"/>
    <mergeCell ref="E6:G7"/>
  </mergeCells>
  <hyperlinks>
    <hyperlink ref="E25" r:id="rId1" display="consultantplus://offline/ref=EC513630DD0A2F9B2EC0205798B851993A5251DC8FCD4308CDDA19182ECC2154EE9666872F0FB998HANDC"/>
  </hyperlinks>
  <printOptions/>
  <pageMargins left="0.7086614173228347" right="0.7086614173228347" top="0.22" bottom="0.25" header="0.31496062992125984" footer="0.44"/>
  <pageSetup horizontalDpi="600" verticalDpi="600" orientation="portrait" paperSize="9" scale="46" r:id="rId2"/>
  <rowBreaks count="1" manualBreakCount="1">
    <brk id="47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S168"/>
  <sheetViews>
    <sheetView view="pageBreakPreview" zoomScale="60" zoomScaleNormal="72" zoomScalePageLayoutView="0" workbookViewId="0" topLeftCell="A163">
      <selection activeCell="D172" sqref="D172"/>
    </sheetView>
  </sheetViews>
  <sheetFormatPr defaultColWidth="9.140625" defaultRowHeight="15"/>
  <cols>
    <col min="1" max="1" width="8.57421875" style="0" customWidth="1"/>
    <col min="2" max="2" width="30.140625" style="0" customWidth="1"/>
    <col min="3" max="3" width="16.421875" style="0" customWidth="1"/>
    <col min="4" max="4" width="17.140625" style="0" customWidth="1"/>
    <col min="5" max="5" width="19.8515625" style="0" customWidth="1"/>
    <col min="6" max="6" width="21.421875" style="0" customWidth="1"/>
    <col min="7" max="7" width="19.8515625" style="0" customWidth="1"/>
    <col min="8" max="8" width="15.421875" style="0" customWidth="1"/>
    <col min="9" max="9" width="15.00390625" style="0" customWidth="1"/>
    <col min="10" max="10" width="21.140625" style="0" customWidth="1"/>
    <col min="12" max="12" width="25.8515625" style="0" customWidth="1"/>
    <col min="13" max="13" width="18.7109375" style="0" customWidth="1"/>
    <col min="14" max="14" width="9.421875" style="0" bestFit="1" customWidth="1"/>
    <col min="18" max="19" width="13.421875" style="0" bestFit="1" customWidth="1"/>
  </cols>
  <sheetData>
    <row r="1" ht="18.75">
      <c r="J1" s="8" t="s">
        <v>118</v>
      </c>
    </row>
    <row r="2" ht="18.75">
      <c r="J2" s="8" t="s">
        <v>119</v>
      </c>
    </row>
    <row r="3" ht="16.5">
      <c r="J3" s="16" t="s">
        <v>120</v>
      </c>
    </row>
    <row r="4" ht="16.5">
      <c r="J4" s="16" t="s">
        <v>121</v>
      </c>
    </row>
    <row r="5" ht="16.5">
      <c r="J5" s="16" t="s">
        <v>122</v>
      </c>
    </row>
    <row r="6" ht="16.5">
      <c r="J6" s="16" t="s">
        <v>123</v>
      </c>
    </row>
    <row r="7" ht="16.5">
      <c r="J7" s="16" t="s">
        <v>124</v>
      </c>
    </row>
    <row r="8" ht="16.5">
      <c r="J8" s="16" t="s">
        <v>125</v>
      </c>
    </row>
    <row r="11" spans="1:10" ht="15" customHeight="1">
      <c r="A11" s="253" t="s">
        <v>367</v>
      </c>
      <c r="B11" s="253"/>
      <c r="C11" s="253"/>
      <c r="D11" s="253"/>
      <c r="E11" s="253"/>
      <c r="F11" s="253"/>
      <c r="G11" s="253"/>
      <c r="H11" s="253"/>
      <c r="I11" s="253"/>
      <c r="J11" s="253"/>
    </row>
    <row r="12" spans="1:10" ht="18.75">
      <c r="A12" s="87"/>
      <c r="B12" s="87"/>
      <c r="C12" s="161"/>
      <c r="D12" s="87"/>
      <c r="E12" s="87"/>
      <c r="F12" s="87"/>
      <c r="G12" s="87"/>
      <c r="H12" s="87"/>
      <c r="I12" s="87"/>
      <c r="J12" s="87"/>
    </row>
    <row r="13" spans="1:10" ht="18.75" hidden="1">
      <c r="A13" s="253" t="s">
        <v>126</v>
      </c>
      <c r="B13" s="253"/>
      <c r="C13" s="253"/>
      <c r="D13" s="253"/>
      <c r="E13" s="253"/>
      <c r="F13" s="253"/>
      <c r="G13" s="253"/>
      <c r="H13" s="253"/>
      <c r="I13" s="253"/>
      <c r="J13" s="253"/>
    </row>
    <row r="14" spans="1:10" ht="15" hidden="1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5" spans="1:10" ht="18.75" hidden="1">
      <c r="A15" s="315" t="s">
        <v>288</v>
      </c>
      <c r="B15" s="315"/>
      <c r="C15" s="315"/>
      <c r="D15" s="315"/>
      <c r="E15" s="315"/>
      <c r="F15" s="315"/>
      <c r="G15" s="315"/>
      <c r="H15" s="315"/>
      <c r="I15" s="315"/>
      <c r="J15" s="315"/>
    </row>
    <row r="16" spans="1:10" ht="21" customHeight="1" hidden="1">
      <c r="A16" s="315" t="s">
        <v>289</v>
      </c>
      <c r="B16" s="315"/>
      <c r="C16" s="315"/>
      <c r="D16" s="315"/>
      <c r="E16" s="315"/>
      <c r="F16" s="315"/>
      <c r="G16" s="315"/>
      <c r="H16" s="315"/>
      <c r="I16" s="315"/>
      <c r="J16" s="315"/>
    </row>
    <row r="17" ht="18.75" hidden="1">
      <c r="A17" s="17"/>
    </row>
    <row r="18" spans="1:10" ht="18.75" hidden="1">
      <c r="A18" s="253" t="s">
        <v>127</v>
      </c>
      <c r="B18" s="253"/>
      <c r="C18" s="253"/>
      <c r="D18" s="253"/>
      <c r="E18" s="253"/>
      <c r="F18" s="253"/>
      <c r="G18" s="253"/>
      <c r="H18" s="253"/>
      <c r="I18" s="253"/>
      <c r="J18" s="253"/>
    </row>
    <row r="19" ht="15" hidden="1">
      <c r="I19">
        <v>1.6</v>
      </c>
    </row>
    <row r="20" spans="1:10" ht="36" customHeight="1" hidden="1" thickBot="1">
      <c r="A20" s="263" t="s">
        <v>0</v>
      </c>
      <c r="B20" s="263" t="s">
        <v>128</v>
      </c>
      <c r="C20" s="263" t="s">
        <v>129</v>
      </c>
      <c r="D20" s="310" t="s">
        <v>130</v>
      </c>
      <c r="E20" s="311"/>
      <c r="F20" s="311"/>
      <c r="G20" s="312"/>
      <c r="H20" s="263" t="s">
        <v>131</v>
      </c>
      <c r="I20" s="263" t="s">
        <v>132</v>
      </c>
      <c r="J20" s="263" t="s">
        <v>133</v>
      </c>
    </row>
    <row r="21" spans="1:10" ht="19.5" hidden="1" thickBot="1">
      <c r="A21" s="300"/>
      <c r="B21" s="300"/>
      <c r="C21" s="300"/>
      <c r="D21" s="263" t="s">
        <v>134</v>
      </c>
      <c r="E21" s="310" t="s">
        <v>22</v>
      </c>
      <c r="F21" s="311"/>
      <c r="G21" s="312"/>
      <c r="H21" s="300"/>
      <c r="I21" s="300"/>
      <c r="J21" s="300"/>
    </row>
    <row r="22" spans="1:10" ht="109.5" customHeight="1" hidden="1" thickBot="1">
      <c r="A22" s="264"/>
      <c r="B22" s="264"/>
      <c r="C22" s="264"/>
      <c r="D22" s="264"/>
      <c r="E22" s="171" t="s">
        <v>135</v>
      </c>
      <c r="F22" s="171" t="s">
        <v>136</v>
      </c>
      <c r="G22" s="171" t="s">
        <v>137</v>
      </c>
      <c r="H22" s="264"/>
      <c r="I22" s="264"/>
      <c r="J22" s="264"/>
    </row>
    <row r="23" spans="1:10" ht="19.5" hidden="1" thickBot="1">
      <c r="A23" s="162">
        <v>1</v>
      </c>
      <c r="B23" s="171">
        <v>2</v>
      </c>
      <c r="C23" s="171">
        <v>3</v>
      </c>
      <c r="D23" s="171">
        <v>4</v>
      </c>
      <c r="E23" s="171">
        <v>5</v>
      </c>
      <c r="F23" s="171">
        <v>6</v>
      </c>
      <c r="G23" s="171">
        <v>7</v>
      </c>
      <c r="H23" s="171">
        <v>8</v>
      </c>
      <c r="I23" s="171">
        <v>9</v>
      </c>
      <c r="J23" s="171">
        <v>10</v>
      </c>
    </row>
    <row r="24" spans="1:13" ht="38.25" hidden="1" thickBot="1">
      <c r="A24" s="162"/>
      <c r="B24" s="162" t="s">
        <v>280</v>
      </c>
      <c r="C24" s="171"/>
      <c r="D24" s="15"/>
      <c r="E24" s="15"/>
      <c r="F24" s="15"/>
      <c r="G24" s="15"/>
      <c r="H24" s="15"/>
      <c r="I24" s="15"/>
      <c r="J24" s="15"/>
      <c r="L24" s="86"/>
      <c r="M24" s="86"/>
    </row>
    <row r="25" spans="1:13" ht="38.25" hidden="1" thickBot="1">
      <c r="A25" s="162"/>
      <c r="B25" s="162" t="s">
        <v>281</v>
      </c>
      <c r="C25" s="171"/>
      <c r="D25" s="15"/>
      <c r="E25" s="15"/>
      <c r="F25" s="15"/>
      <c r="G25" s="15"/>
      <c r="H25" s="85"/>
      <c r="I25" s="15"/>
      <c r="J25" s="15"/>
      <c r="L25" s="86"/>
      <c r="M25" s="86"/>
    </row>
    <row r="26" spans="1:12" ht="57" hidden="1" thickBot="1">
      <c r="A26" s="170"/>
      <c r="B26" s="162" t="s">
        <v>282</v>
      </c>
      <c r="C26" s="171"/>
      <c r="D26" s="15"/>
      <c r="E26" s="15"/>
      <c r="F26" s="15"/>
      <c r="G26" s="15"/>
      <c r="H26" s="15"/>
      <c r="I26" s="15"/>
      <c r="J26" s="15"/>
      <c r="L26" s="86"/>
    </row>
    <row r="27" spans="1:19" ht="38.25" hidden="1" thickBot="1">
      <c r="A27" s="170"/>
      <c r="B27" s="162" t="s">
        <v>283</v>
      </c>
      <c r="C27" s="171"/>
      <c r="D27" s="15"/>
      <c r="E27" s="58"/>
      <c r="F27" s="58"/>
      <c r="G27" s="15"/>
      <c r="H27" s="171"/>
      <c r="I27" s="15"/>
      <c r="J27" s="15"/>
      <c r="L27" s="86"/>
      <c r="M27" s="86"/>
      <c r="R27" s="86">
        <f>L27-J28</f>
        <v>0</v>
      </c>
      <c r="S27" s="107">
        <f>R27-259000-100000</f>
        <v>-359000</v>
      </c>
    </row>
    <row r="28" spans="1:12" ht="39.75" customHeight="1" hidden="1" thickBot="1">
      <c r="A28" s="313" t="s">
        <v>138</v>
      </c>
      <c r="B28" s="314"/>
      <c r="C28" s="116" t="s">
        <v>139</v>
      </c>
      <c r="D28" s="116"/>
      <c r="E28" s="116" t="s">
        <v>139</v>
      </c>
      <c r="F28" s="116" t="s">
        <v>139</v>
      </c>
      <c r="G28" s="116" t="s">
        <v>139</v>
      </c>
      <c r="H28" s="117" t="s">
        <v>139</v>
      </c>
      <c r="I28" s="116" t="s">
        <v>139</v>
      </c>
      <c r="J28" s="118">
        <f>SUM(J24:J27)</f>
        <v>0</v>
      </c>
      <c r="L28" s="86"/>
    </row>
    <row r="29" spans="12:13" ht="15" hidden="1">
      <c r="L29" s="88"/>
      <c r="M29" s="86"/>
    </row>
    <row r="30" spans="12:13" ht="15" hidden="1">
      <c r="L30" s="86"/>
      <c r="M30" s="86"/>
    </row>
    <row r="31" spans="1:12" s="89" customFormat="1" ht="38.25" customHeight="1" hidden="1">
      <c r="A31" s="304" t="s">
        <v>186</v>
      </c>
      <c r="B31" s="304"/>
      <c r="C31" s="304"/>
      <c r="D31" s="304"/>
      <c r="E31" s="304"/>
      <c r="F31" s="304"/>
      <c r="L31" s="90"/>
    </row>
    <row r="32" s="89" customFormat="1" ht="15" hidden="1">
      <c r="L32" s="90"/>
    </row>
    <row r="33" spans="1:12" s="89" customFormat="1" ht="123" customHeight="1" hidden="1" thickBot="1">
      <c r="A33" s="91" t="s">
        <v>0</v>
      </c>
      <c r="B33" s="144" t="s">
        <v>140</v>
      </c>
      <c r="C33" s="144" t="s">
        <v>141</v>
      </c>
      <c r="D33" s="144" t="s">
        <v>142</v>
      </c>
      <c r="E33" s="144" t="s">
        <v>143</v>
      </c>
      <c r="F33" s="144" t="s">
        <v>144</v>
      </c>
      <c r="L33" s="90"/>
    </row>
    <row r="34" spans="1:6" s="89" customFormat="1" ht="19.5" hidden="1" thickBot="1">
      <c r="A34" s="167">
        <v>1</v>
      </c>
      <c r="B34" s="143">
        <v>2</v>
      </c>
      <c r="C34" s="143">
        <v>3</v>
      </c>
      <c r="D34" s="143">
        <v>4</v>
      </c>
      <c r="E34" s="143">
        <v>5</v>
      </c>
      <c r="F34" s="143">
        <v>6</v>
      </c>
    </row>
    <row r="35" spans="1:6" s="89" customFormat="1" ht="19.5" hidden="1" thickBot="1">
      <c r="A35" s="167">
        <v>1</v>
      </c>
      <c r="B35" s="143"/>
      <c r="C35" s="92">
        <v>0</v>
      </c>
      <c r="D35" s="92">
        <v>0</v>
      </c>
      <c r="E35" s="92">
        <v>0</v>
      </c>
      <c r="F35" s="92">
        <f>C35*D35*E35</f>
        <v>0</v>
      </c>
    </row>
    <row r="36" spans="1:6" s="89" customFormat="1" ht="19.5" hidden="1" thickBot="1">
      <c r="A36" s="167"/>
      <c r="B36" s="108" t="s">
        <v>138</v>
      </c>
      <c r="C36" s="66" t="s">
        <v>139</v>
      </c>
      <c r="D36" s="66" t="s">
        <v>139</v>
      </c>
      <c r="E36" s="66" t="s">
        <v>139</v>
      </c>
      <c r="F36" s="109">
        <f>F35</f>
        <v>0</v>
      </c>
    </row>
    <row r="37" s="89" customFormat="1" ht="15" hidden="1"/>
    <row r="38" spans="1:6" s="89" customFormat="1" ht="18.75" hidden="1">
      <c r="A38" s="304" t="s">
        <v>187</v>
      </c>
      <c r="B38" s="304"/>
      <c r="C38" s="304"/>
      <c r="D38" s="304"/>
      <c r="E38" s="304"/>
      <c r="F38" s="304"/>
    </row>
    <row r="39" s="89" customFormat="1" ht="15" hidden="1"/>
    <row r="40" spans="1:6" s="89" customFormat="1" ht="124.5" customHeight="1" hidden="1" thickBot="1">
      <c r="A40" s="91" t="s">
        <v>0</v>
      </c>
      <c r="B40" s="144" t="s">
        <v>140</v>
      </c>
      <c r="C40" s="144" t="s">
        <v>145</v>
      </c>
      <c r="D40" s="144" t="s">
        <v>146</v>
      </c>
      <c r="E40" s="144" t="s">
        <v>147</v>
      </c>
      <c r="F40" s="144" t="s">
        <v>144</v>
      </c>
    </row>
    <row r="41" spans="1:6" s="89" customFormat="1" ht="19.5" hidden="1" thickBot="1">
      <c r="A41" s="167">
        <v>1</v>
      </c>
      <c r="B41" s="143">
        <v>2</v>
      </c>
      <c r="C41" s="143">
        <v>3</v>
      </c>
      <c r="D41" s="143">
        <v>4</v>
      </c>
      <c r="E41" s="143">
        <v>5</v>
      </c>
      <c r="F41" s="143">
        <v>6</v>
      </c>
    </row>
    <row r="42" spans="1:6" s="89" customFormat="1" ht="51.75" customHeight="1" hidden="1" thickBot="1">
      <c r="A42" s="167">
        <v>1</v>
      </c>
      <c r="B42" s="143" t="s">
        <v>265</v>
      </c>
      <c r="C42" s="143"/>
      <c r="D42" s="143"/>
      <c r="E42" s="92"/>
      <c r="F42" s="92">
        <f>C42*D42*E42</f>
        <v>0</v>
      </c>
    </row>
    <row r="43" spans="1:6" s="89" customFormat="1" ht="19.5" hidden="1" thickBot="1">
      <c r="A43" s="167"/>
      <c r="B43" s="108" t="s">
        <v>138</v>
      </c>
      <c r="C43" s="66" t="s">
        <v>139</v>
      </c>
      <c r="D43" s="66" t="s">
        <v>139</v>
      </c>
      <c r="E43" s="66" t="s">
        <v>139</v>
      </c>
      <c r="F43" s="112">
        <f>F42</f>
        <v>0</v>
      </c>
    </row>
    <row r="44" s="89" customFormat="1" ht="15" hidden="1"/>
    <row r="45" spans="1:5" s="89" customFormat="1" ht="80.25" customHeight="1" hidden="1">
      <c r="A45" s="304" t="s">
        <v>188</v>
      </c>
      <c r="B45" s="304"/>
      <c r="C45" s="304"/>
      <c r="D45" s="304"/>
      <c r="E45" s="304"/>
    </row>
    <row r="46" s="89" customFormat="1" ht="15" hidden="1"/>
    <row r="47" spans="1:4" s="89" customFormat="1" ht="144.75" customHeight="1" hidden="1" thickBot="1">
      <c r="A47" s="91" t="s">
        <v>0</v>
      </c>
      <c r="B47" s="144" t="s">
        <v>148</v>
      </c>
      <c r="C47" s="144" t="s">
        <v>149</v>
      </c>
      <c r="D47" s="144" t="s">
        <v>150</v>
      </c>
    </row>
    <row r="48" spans="1:4" s="89" customFormat="1" ht="19.5" hidden="1" thickBot="1">
      <c r="A48" s="167">
        <v>1</v>
      </c>
      <c r="B48" s="143">
        <v>2</v>
      </c>
      <c r="C48" s="143">
        <v>3</v>
      </c>
      <c r="D48" s="143">
        <v>4</v>
      </c>
    </row>
    <row r="49" spans="1:4" s="89" customFormat="1" ht="113.25" customHeight="1" hidden="1" thickBot="1">
      <c r="A49" s="167">
        <v>1</v>
      </c>
      <c r="B49" s="94" t="s">
        <v>151</v>
      </c>
      <c r="C49" s="143" t="s">
        <v>139</v>
      </c>
      <c r="D49" s="51"/>
    </row>
    <row r="50" spans="1:4" s="89" customFormat="1" ht="18.75" hidden="1">
      <c r="A50" s="282" t="s">
        <v>152</v>
      </c>
      <c r="B50" s="95" t="s">
        <v>22</v>
      </c>
      <c r="C50" s="282"/>
      <c r="D50" s="278"/>
    </row>
    <row r="51" spans="1:4" s="89" customFormat="1" ht="19.5" hidden="1" thickBot="1">
      <c r="A51" s="283"/>
      <c r="B51" s="96" t="s">
        <v>153</v>
      </c>
      <c r="C51" s="283"/>
      <c r="D51" s="279"/>
    </row>
    <row r="52" spans="1:4" s="89" customFormat="1" ht="19.5" hidden="1" thickBot="1">
      <c r="A52" s="167" t="s">
        <v>154</v>
      </c>
      <c r="B52" s="97" t="s">
        <v>155</v>
      </c>
      <c r="C52" s="143"/>
      <c r="D52" s="51"/>
    </row>
    <row r="53" spans="1:4" s="89" customFormat="1" ht="120.75" customHeight="1" hidden="1" thickBot="1">
      <c r="A53" s="167">
        <v>2</v>
      </c>
      <c r="B53" s="94" t="s">
        <v>156</v>
      </c>
      <c r="C53" s="143" t="s">
        <v>139</v>
      </c>
      <c r="D53" s="51"/>
    </row>
    <row r="54" spans="1:4" s="89" customFormat="1" ht="164.25" customHeight="1" hidden="1" thickBot="1">
      <c r="A54" s="167">
        <v>3</v>
      </c>
      <c r="B54" s="94" t="s">
        <v>157</v>
      </c>
      <c r="C54" s="51">
        <f>J28</f>
        <v>0</v>
      </c>
      <c r="D54" s="51">
        <f>C54*5.1%</f>
        <v>0</v>
      </c>
    </row>
    <row r="55" spans="1:4" s="89" customFormat="1" ht="19.5" hidden="1" thickBot="1">
      <c r="A55" s="167"/>
      <c r="B55" s="108" t="s">
        <v>138</v>
      </c>
      <c r="C55" s="66" t="s">
        <v>139</v>
      </c>
      <c r="D55" s="67">
        <f>D50+D53+D54</f>
        <v>0</v>
      </c>
    </row>
    <row r="56" s="89" customFormat="1" ht="15" hidden="1"/>
    <row r="57" spans="1:6" s="89" customFormat="1" ht="36" customHeight="1" hidden="1">
      <c r="A57" s="304" t="s">
        <v>189</v>
      </c>
      <c r="B57" s="304"/>
      <c r="C57" s="304"/>
      <c r="D57" s="304"/>
      <c r="E57" s="304"/>
      <c r="F57" s="304"/>
    </row>
    <row r="58" s="89" customFormat="1" ht="15" hidden="1"/>
    <row r="59" spans="1:6" s="89" customFormat="1" ht="18.75" hidden="1">
      <c r="A59" s="309" t="s">
        <v>190</v>
      </c>
      <c r="B59" s="309"/>
      <c r="C59" s="309"/>
      <c r="D59" s="309"/>
      <c r="E59" s="309"/>
      <c r="F59" s="309"/>
    </row>
    <row r="60" spans="1:6" s="89" customFormat="1" ht="18.75" hidden="1">
      <c r="A60" s="309" t="s">
        <v>191</v>
      </c>
      <c r="B60" s="309"/>
      <c r="C60" s="309"/>
      <c r="D60" s="309"/>
      <c r="E60" s="309"/>
      <c r="F60" s="309"/>
    </row>
    <row r="61" s="89" customFormat="1" ht="18.75" hidden="1">
      <c r="A61" s="98"/>
    </row>
    <row r="62" spans="1:5" s="89" customFormat="1" ht="108" customHeight="1" hidden="1" thickBot="1">
      <c r="A62" s="91" t="s">
        <v>0</v>
      </c>
      <c r="B62" s="144" t="s">
        <v>1</v>
      </c>
      <c r="C62" s="144" t="s">
        <v>158</v>
      </c>
      <c r="D62" s="144" t="s">
        <v>159</v>
      </c>
      <c r="E62" s="144" t="s">
        <v>160</v>
      </c>
    </row>
    <row r="63" spans="1:5" s="89" customFormat="1" ht="19.5" hidden="1" thickBot="1">
      <c r="A63" s="167">
        <v>1</v>
      </c>
      <c r="B63" s="143">
        <v>2</v>
      </c>
      <c r="C63" s="143">
        <v>3</v>
      </c>
      <c r="D63" s="143">
        <v>4</v>
      </c>
      <c r="E63" s="143">
        <v>5</v>
      </c>
    </row>
    <row r="64" spans="1:5" s="89" customFormat="1" ht="19.5" hidden="1" thickBot="1">
      <c r="A64" s="167"/>
      <c r="B64" s="143"/>
      <c r="C64" s="143"/>
      <c r="D64" s="143"/>
      <c r="E64" s="143"/>
    </row>
    <row r="65" spans="1:5" s="89" customFormat="1" ht="19.5" hidden="1" thickBot="1">
      <c r="A65" s="167"/>
      <c r="B65" s="108" t="s">
        <v>138</v>
      </c>
      <c r="C65" s="66" t="s">
        <v>139</v>
      </c>
      <c r="D65" s="66" t="s">
        <v>139</v>
      </c>
      <c r="E65" s="66"/>
    </row>
    <row r="66" s="89" customFormat="1" ht="15" hidden="1"/>
    <row r="67" s="89" customFormat="1" ht="15" hidden="1"/>
    <row r="68" spans="1:7" s="89" customFormat="1" ht="18.75" hidden="1">
      <c r="A68" s="307" t="s">
        <v>192</v>
      </c>
      <c r="B68" s="307"/>
      <c r="C68" s="307"/>
      <c r="D68" s="307"/>
      <c r="E68" s="307"/>
      <c r="F68" s="307"/>
      <c r="G68" s="307"/>
    </row>
    <row r="69" s="89" customFormat="1" ht="18.75" hidden="1">
      <c r="A69" s="99"/>
    </row>
    <row r="70" s="89" customFormat="1" ht="18.75" hidden="1">
      <c r="A70" s="98"/>
    </row>
    <row r="71" spans="1:7" s="89" customFormat="1" ht="18.75" hidden="1">
      <c r="A71" s="309" t="s">
        <v>257</v>
      </c>
      <c r="B71" s="309"/>
      <c r="C71" s="309"/>
      <c r="D71" s="309"/>
      <c r="E71" s="309"/>
      <c r="F71" s="309"/>
      <c r="G71" s="309"/>
    </row>
    <row r="72" spans="1:7" s="89" customFormat="1" ht="18.75" hidden="1">
      <c r="A72" s="309" t="s">
        <v>256</v>
      </c>
      <c r="B72" s="309"/>
      <c r="C72" s="309"/>
      <c r="D72" s="309"/>
      <c r="E72" s="309"/>
      <c r="F72" s="309"/>
      <c r="G72" s="309"/>
    </row>
    <row r="73" s="89" customFormat="1" ht="18.75" hidden="1">
      <c r="A73" s="98"/>
    </row>
    <row r="74" spans="1:5" s="89" customFormat="1" ht="141.75" customHeight="1" hidden="1" thickBot="1">
      <c r="A74" s="91" t="s">
        <v>0</v>
      </c>
      <c r="B74" s="144" t="s">
        <v>140</v>
      </c>
      <c r="C74" s="144" t="s">
        <v>161</v>
      </c>
      <c r="D74" s="144" t="s">
        <v>162</v>
      </c>
      <c r="E74" s="144" t="s">
        <v>163</v>
      </c>
    </row>
    <row r="75" spans="1:5" s="89" customFormat="1" ht="19.5" hidden="1" thickBot="1">
      <c r="A75" s="167">
        <v>1</v>
      </c>
      <c r="B75" s="143">
        <v>2</v>
      </c>
      <c r="C75" s="143">
        <v>3</v>
      </c>
      <c r="D75" s="143">
        <v>4</v>
      </c>
      <c r="E75" s="143">
        <v>5</v>
      </c>
    </row>
    <row r="76" spans="1:8" s="89" customFormat="1" ht="19.5" hidden="1" thickBot="1">
      <c r="A76" s="167">
        <v>1</v>
      </c>
      <c r="B76" s="143" t="s">
        <v>254</v>
      </c>
      <c r="C76" s="111"/>
      <c r="D76" s="111"/>
      <c r="E76" s="111"/>
      <c r="H76" s="100"/>
    </row>
    <row r="77" spans="1:5" s="89" customFormat="1" ht="27" customHeight="1" hidden="1" thickBot="1">
      <c r="A77" s="167">
        <v>2</v>
      </c>
      <c r="B77" s="143" t="s">
        <v>255</v>
      </c>
      <c r="C77" s="111"/>
      <c r="D77" s="111"/>
      <c r="E77" s="111"/>
    </row>
    <row r="78" spans="1:5" s="89" customFormat="1" ht="19.5" hidden="1" thickBot="1">
      <c r="A78" s="167"/>
      <c r="B78" s="108" t="s">
        <v>138</v>
      </c>
      <c r="C78" s="112"/>
      <c r="D78" s="112" t="s">
        <v>139</v>
      </c>
      <c r="E78" s="112">
        <f>E77+E76</f>
        <v>0</v>
      </c>
    </row>
    <row r="79" s="89" customFormat="1" ht="15"/>
    <row r="80" spans="1:9" s="89" customFormat="1" ht="18.75">
      <c r="A80" s="307" t="s">
        <v>300</v>
      </c>
      <c r="B80" s="307"/>
      <c r="C80" s="307"/>
      <c r="D80" s="307"/>
      <c r="E80" s="307"/>
      <c r="F80" s="307"/>
      <c r="G80" s="307"/>
      <c r="H80" s="307"/>
      <c r="I80" s="307"/>
    </row>
    <row r="81" s="89" customFormat="1" ht="18.75">
      <c r="A81" s="99"/>
    </row>
    <row r="82" s="89" customFormat="1" ht="18.75">
      <c r="A82" s="101" t="s">
        <v>290</v>
      </c>
    </row>
    <row r="83" spans="1:7" s="89" customFormat="1" ht="17.25" customHeight="1">
      <c r="A83" s="169" t="s">
        <v>308</v>
      </c>
      <c r="B83" s="169"/>
      <c r="C83" s="169"/>
      <c r="D83" s="169"/>
      <c r="E83" s="169"/>
      <c r="F83" s="169"/>
      <c r="G83" s="169"/>
    </row>
    <row r="84" s="89" customFormat="1" ht="18.75" hidden="1">
      <c r="A84" s="101"/>
    </row>
    <row r="85" spans="1:6" s="89" customFormat="1" ht="18.75" hidden="1">
      <c r="A85" s="307" t="s">
        <v>164</v>
      </c>
      <c r="B85" s="307"/>
      <c r="C85" s="307"/>
      <c r="D85" s="307"/>
      <c r="E85" s="307"/>
      <c r="F85" s="307"/>
    </row>
    <row r="86" s="89" customFormat="1" ht="15" hidden="1"/>
    <row r="87" spans="1:6" s="89" customFormat="1" ht="57" hidden="1" thickBot="1">
      <c r="A87" s="91" t="s">
        <v>0</v>
      </c>
      <c r="B87" s="144" t="s">
        <v>140</v>
      </c>
      <c r="C87" s="144" t="s">
        <v>165</v>
      </c>
      <c r="D87" s="144" t="s">
        <v>166</v>
      </c>
      <c r="E87" s="144" t="s">
        <v>167</v>
      </c>
      <c r="F87" s="144" t="s">
        <v>144</v>
      </c>
    </row>
    <row r="88" spans="1:6" s="89" customFormat="1" ht="19.5" hidden="1" thickBot="1">
      <c r="A88" s="167">
        <v>1</v>
      </c>
      <c r="B88" s="143">
        <v>2</v>
      </c>
      <c r="C88" s="143">
        <v>3</v>
      </c>
      <c r="D88" s="143">
        <v>4</v>
      </c>
      <c r="E88" s="143">
        <v>5</v>
      </c>
      <c r="F88" s="143">
        <v>6</v>
      </c>
    </row>
    <row r="89" spans="1:6" s="89" customFormat="1" ht="38.25" hidden="1" thickBot="1">
      <c r="A89" s="167">
        <v>1</v>
      </c>
      <c r="B89" s="143" t="s">
        <v>258</v>
      </c>
      <c r="C89" s="143"/>
      <c r="D89" s="143"/>
      <c r="E89" s="111"/>
      <c r="F89" s="111">
        <f>C89*D89*E89</f>
        <v>0</v>
      </c>
    </row>
    <row r="90" spans="1:6" s="89" customFormat="1" ht="19.5" hidden="1" thickBot="1">
      <c r="A90" s="167"/>
      <c r="B90" s="108" t="s">
        <v>138</v>
      </c>
      <c r="C90" s="66" t="s">
        <v>139</v>
      </c>
      <c r="D90" s="66" t="s">
        <v>139</v>
      </c>
      <c r="E90" s="66" t="s">
        <v>139</v>
      </c>
      <c r="F90" s="112">
        <f>F89</f>
        <v>0</v>
      </c>
    </row>
    <row r="91" s="89" customFormat="1" ht="15" hidden="1"/>
    <row r="92" spans="1:6" s="89" customFormat="1" ht="30" customHeight="1" hidden="1">
      <c r="A92" s="307" t="s">
        <v>168</v>
      </c>
      <c r="B92" s="307"/>
      <c r="C92" s="307"/>
      <c r="D92" s="307"/>
      <c r="E92" s="307"/>
      <c r="F92" s="307"/>
    </row>
    <row r="93" s="89" customFormat="1" ht="15" hidden="1"/>
    <row r="94" spans="1:5" s="89" customFormat="1" ht="57" hidden="1" thickBot="1">
      <c r="A94" s="91" t="s">
        <v>0</v>
      </c>
      <c r="B94" s="144" t="s">
        <v>140</v>
      </c>
      <c r="C94" s="144" t="s">
        <v>169</v>
      </c>
      <c r="D94" s="144" t="s">
        <v>170</v>
      </c>
      <c r="E94" s="144" t="s">
        <v>171</v>
      </c>
    </row>
    <row r="95" spans="1:5" s="89" customFormat="1" ht="19.5" hidden="1" thickBot="1">
      <c r="A95" s="167">
        <v>1</v>
      </c>
      <c r="B95" s="143">
        <v>2</v>
      </c>
      <c r="C95" s="143">
        <v>3</v>
      </c>
      <c r="D95" s="143">
        <v>4</v>
      </c>
      <c r="E95" s="143">
        <v>5</v>
      </c>
    </row>
    <row r="96" spans="1:5" s="89" customFormat="1" ht="19.5" hidden="1" thickBot="1">
      <c r="A96" s="167"/>
      <c r="B96" s="143"/>
      <c r="C96" s="92">
        <v>0</v>
      </c>
      <c r="D96" s="92">
        <v>0</v>
      </c>
      <c r="E96" s="92">
        <f>C96*D96</f>
        <v>0</v>
      </c>
    </row>
    <row r="97" spans="1:5" s="89" customFormat="1" ht="19.5" hidden="1" thickBot="1">
      <c r="A97" s="167"/>
      <c r="B97" s="114" t="s">
        <v>138</v>
      </c>
      <c r="C97" s="115">
        <f>C96</f>
        <v>0</v>
      </c>
      <c r="D97" s="115">
        <f>D96</f>
        <v>0</v>
      </c>
      <c r="E97" s="115">
        <f>E96</f>
        <v>0</v>
      </c>
    </row>
    <row r="98" s="89" customFormat="1" ht="15" hidden="1"/>
    <row r="99" spans="1:6" s="89" customFormat="1" ht="18.75" hidden="1">
      <c r="A99" s="307" t="s">
        <v>172</v>
      </c>
      <c r="B99" s="307"/>
      <c r="C99" s="307"/>
      <c r="D99" s="307"/>
      <c r="E99" s="307"/>
      <c r="F99" s="307"/>
    </row>
    <row r="100" s="89" customFormat="1" ht="15" hidden="1"/>
    <row r="101" spans="1:7" s="89" customFormat="1" ht="57" hidden="1" thickBot="1">
      <c r="A101" s="91" t="s">
        <v>0</v>
      </c>
      <c r="B101" s="144" t="s">
        <v>1</v>
      </c>
      <c r="C101" s="144" t="s">
        <v>295</v>
      </c>
      <c r="D101" s="144" t="s">
        <v>291</v>
      </c>
      <c r="E101" s="144" t="s">
        <v>173</v>
      </c>
      <c r="F101" s="144" t="s">
        <v>174</v>
      </c>
      <c r="G101" s="144" t="s">
        <v>297</v>
      </c>
    </row>
    <row r="102" spans="1:7" s="89" customFormat="1" ht="19.5" hidden="1" thickBot="1">
      <c r="A102" s="167">
        <v>1</v>
      </c>
      <c r="B102" s="143">
        <v>2</v>
      </c>
      <c r="C102" s="143">
        <v>3</v>
      </c>
      <c r="D102" s="143">
        <v>4</v>
      </c>
      <c r="E102" s="143">
        <v>5</v>
      </c>
      <c r="F102" s="143">
        <v>6</v>
      </c>
      <c r="G102" s="143">
        <v>7</v>
      </c>
    </row>
    <row r="103" spans="1:7" s="89" customFormat="1" ht="47.25" customHeight="1" hidden="1" thickBot="1">
      <c r="A103" s="167">
        <v>1</v>
      </c>
      <c r="B103" s="167" t="s">
        <v>259</v>
      </c>
      <c r="C103" s="92" t="s">
        <v>296</v>
      </c>
      <c r="D103" s="92"/>
      <c r="E103" s="92"/>
      <c r="F103" s="143"/>
      <c r="G103" s="102"/>
    </row>
    <row r="104" spans="1:7" s="89" customFormat="1" ht="47.25" customHeight="1" hidden="1" thickBot="1">
      <c r="A104" s="167">
        <v>2</v>
      </c>
      <c r="B104" s="167" t="s">
        <v>260</v>
      </c>
      <c r="C104" s="92" t="s">
        <v>296</v>
      </c>
      <c r="D104" s="92"/>
      <c r="E104" s="92"/>
      <c r="F104" s="143"/>
      <c r="G104" s="102"/>
    </row>
    <row r="105" spans="1:7" s="89" customFormat="1" ht="47.25" customHeight="1" hidden="1" thickBot="1">
      <c r="A105" s="167">
        <v>3</v>
      </c>
      <c r="B105" s="167" t="s">
        <v>261</v>
      </c>
      <c r="C105" s="92" t="s">
        <v>298</v>
      </c>
      <c r="D105" s="92"/>
      <c r="E105" s="92"/>
      <c r="F105" s="143"/>
      <c r="G105" s="102"/>
    </row>
    <row r="106" spans="1:7" s="89" customFormat="1" ht="47.25" customHeight="1" hidden="1" thickBot="1">
      <c r="A106" s="167">
        <v>4</v>
      </c>
      <c r="B106" s="167" t="s">
        <v>262</v>
      </c>
      <c r="C106" s="92" t="s">
        <v>299</v>
      </c>
      <c r="D106" s="92"/>
      <c r="E106" s="92"/>
      <c r="F106" s="143"/>
      <c r="G106" s="102"/>
    </row>
    <row r="107" spans="1:7" s="89" customFormat="1" ht="47.25" customHeight="1" hidden="1" thickBot="1">
      <c r="A107" s="167">
        <v>5</v>
      </c>
      <c r="B107" s="167" t="s">
        <v>263</v>
      </c>
      <c r="C107" s="92" t="s">
        <v>299</v>
      </c>
      <c r="D107" s="92"/>
      <c r="E107" s="92"/>
      <c r="F107" s="143"/>
      <c r="G107" s="102"/>
    </row>
    <row r="108" spans="1:7" s="89" customFormat="1" ht="47.25" customHeight="1" hidden="1" thickBot="1">
      <c r="A108" s="167">
        <v>6</v>
      </c>
      <c r="B108" s="167" t="s">
        <v>264</v>
      </c>
      <c r="C108" s="92" t="s">
        <v>299</v>
      </c>
      <c r="D108" s="92"/>
      <c r="E108" s="92"/>
      <c r="F108" s="143"/>
      <c r="G108" s="102"/>
    </row>
    <row r="109" spans="1:7" s="89" customFormat="1" ht="19.5" hidden="1" thickBot="1">
      <c r="A109" s="167"/>
      <c r="B109" s="108" t="s">
        <v>138</v>
      </c>
      <c r="C109" s="66" t="s">
        <v>139</v>
      </c>
      <c r="D109" s="66" t="s">
        <v>139</v>
      </c>
      <c r="E109" s="66" t="s">
        <v>139</v>
      </c>
      <c r="F109" s="66" t="s">
        <v>139</v>
      </c>
      <c r="G109" s="113">
        <f>G108+G107+G106+G105+G104+G103</f>
        <v>0</v>
      </c>
    </row>
    <row r="110" s="89" customFormat="1" ht="15" hidden="1"/>
    <row r="111" spans="1:6" s="89" customFormat="1" ht="18.75" hidden="1">
      <c r="A111" s="307" t="s">
        <v>175</v>
      </c>
      <c r="B111" s="307"/>
      <c r="C111" s="307"/>
      <c r="D111" s="307"/>
      <c r="E111" s="307"/>
      <c r="F111" s="101"/>
    </row>
    <row r="112" s="89" customFormat="1" ht="15" hidden="1"/>
    <row r="113" spans="1:5" s="89" customFormat="1" ht="57" hidden="1" thickBot="1">
      <c r="A113" s="91" t="s">
        <v>0</v>
      </c>
      <c r="B113" s="144" t="s">
        <v>1</v>
      </c>
      <c r="C113" s="144" t="s">
        <v>176</v>
      </c>
      <c r="D113" s="144" t="s">
        <v>177</v>
      </c>
      <c r="E113" s="144" t="s">
        <v>178</v>
      </c>
    </row>
    <row r="114" spans="1:5" s="89" customFormat="1" ht="19.5" hidden="1" thickBot="1">
      <c r="A114" s="167">
        <v>1</v>
      </c>
      <c r="B114" s="143">
        <v>2</v>
      </c>
      <c r="C114" s="143">
        <v>3</v>
      </c>
      <c r="D114" s="143">
        <v>4</v>
      </c>
      <c r="E114" s="143">
        <v>5</v>
      </c>
    </row>
    <row r="115" spans="1:5" s="89" customFormat="1" ht="19.5" hidden="1" thickBot="1">
      <c r="A115" s="167"/>
      <c r="B115" s="143"/>
      <c r="C115" s="143"/>
      <c r="D115" s="143"/>
      <c r="E115" s="143"/>
    </row>
    <row r="116" spans="1:5" s="89" customFormat="1" ht="19.5" hidden="1" thickBot="1">
      <c r="A116" s="167"/>
      <c r="B116" s="93" t="s">
        <v>138</v>
      </c>
      <c r="C116" s="143" t="s">
        <v>139</v>
      </c>
      <c r="D116" s="143" t="s">
        <v>139</v>
      </c>
      <c r="E116" s="143" t="s">
        <v>139</v>
      </c>
    </row>
    <row r="117" s="89" customFormat="1" ht="15" hidden="1"/>
    <row r="118" spans="1:5" s="89" customFormat="1" ht="39.75" customHeight="1" hidden="1">
      <c r="A118" s="304" t="s">
        <v>193</v>
      </c>
      <c r="B118" s="304"/>
      <c r="C118" s="304"/>
      <c r="D118" s="304"/>
      <c r="E118" s="304"/>
    </row>
    <row r="119" s="89" customFormat="1" ht="18.75" hidden="1">
      <c r="A119" s="98"/>
    </row>
    <row r="120" spans="1:5" s="89" customFormat="1" ht="57" hidden="1" thickBot="1">
      <c r="A120" s="91" t="s">
        <v>0</v>
      </c>
      <c r="B120" s="144" t="s">
        <v>140</v>
      </c>
      <c r="C120" s="144" t="s">
        <v>179</v>
      </c>
      <c r="D120" s="144" t="s">
        <v>180</v>
      </c>
      <c r="E120" s="144" t="s">
        <v>181</v>
      </c>
    </row>
    <row r="121" spans="1:5" s="89" customFormat="1" ht="19.5" hidden="1" thickBot="1">
      <c r="A121" s="167">
        <v>1</v>
      </c>
      <c r="B121" s="143">
        <v>2</v>
      </c>
      <c r="C121" s="143">
        <v>3</v>
      </c>
      <c r="D121" s="143">
        <v>4</v>
      </c>
      <c r="E121" s="143">
        <v>5</v>
      </c>
    </row>
    <row r="122" spans="1:5" s="89" customFormat="1" ht="19.5" hidden="1" thickBot="1">
      <c r="A122" s="167">
        <v>1</v>
      </c>
      <c r="B122" s="103" t="s">
        <v>266</v>
      </c>
      <c r="C122" s="143"/>
      <c r="D122" s="143"/>
      <c r="E122" s="111"/>
    </row>
    <row r="123" spans="1:5" s="89" customFormat="1" ht="19.5" hidden="1" thickBot="1">
      <c r="A123" s="167">
        <v>2</v>
      </c>
      <c r="B123" s="103" t="s">
        <v>267</v>
      </c>
      <c r="C123" s="143"/>
      <c r="D123" s="143"/>
      <c r="E123" s="111"/>
    </row>
    <row r="124" spans="1:5" s="89" customFormat="1" ht="19.5" hidden="1" thickBot="1">
      <c r="A124" s="167">
        <v>3</v>
      </c>
      <c r="B124" s="103" t="s">
        <v>268</v>
      </c>
      <c r="C124" s="143"/>
      <c r="D124" s="143"/>
      <c r="E124" s="111"/>
    </row>
    <row r="125" spans="1:5" s="89" customFormat="1" ht="38.25" hidden="1" thickBot="1">
      <c r="A125" s="167">
        <v>4</v>
      </c>
      <c r="B125" s="103" t="s">
        <v>269</v>
      </c>
      <c r="C125" s="143"/>
      <c r="D125" s="143"/>
      <c r="E125" s="111"/>
    </row>
    <row r="126" spans="1:5" s="89" customFormat="1" ht="24.75" customHeight="1" hidden="1" thickBot="1">
      <c r="A126" s="167">
        <v>5</v>
      </c>
      <c r="B126" s="103" t="s">
        <v>270</v>
      </c>
      <c r="C126" s="143"/>
      <c r="D126" s="143"/>
      <c r="E126" s="111"/>
    </row>
    <row r="127" spans="1:12" s="89" customFormat="1" ht="57" hidden="1" thickBot="1">
      <c r="A127" s="167">
        <v>6</v>
      </c>
      <c r="B127" s="103" t="s">
        <v>271</v>
      </c>
      <c r="C127" s="143"/>
      <c r="D127" s="143"/>
      <c r="E127" s="111"/>
      <c r="L127" s="123">
        <f>233280-D148-E155-E157</f>
        <v>0</v>
      </c>
    </row>
    <row r="128" spans="1:5" s="89" customFormat="1" ht="19.5" hidden="1" thickBot="1">
      <c r="A128" s="167">
        <v>7</v>
      </c>
      <c r="B128" s="103" t="s">
        <v>272</v>
      </c>
      <c r="C128" s="143"/>
      <c r="D128" s="143"/>
      <c r="E128" s="111"/>
    </row>
    <row r="129" spans="1:5" s="89" customFormat="1" ht="38.25" hidden="1" thickBot="1">
      <c r="A129" s="167">
        <v>8</v>
      </c>
      <c r="B129" s="103" t="s">
        <v>273</v>
      </c>
      <c r="C129" s="143"/>
      <c r="D129" s="143"/>
      <c r="E129" s="111"/>
    </row>
    <row r="130" spans="1:5" s="89" customFormat="1" ht="38.25" hidden="1" thickBot="1">
      <c r="A130" s="167">
        <v>9</v>
      </c>
      <c r="B130" s="103" t="s">
        <v>292</v>
      </c>
      <c r="C130" s="143"/>
      <c r="D130" s="143"/>
      <c r="E130" s="111"/>
    </row>
    <row r="131" spans="1:5" s="89" customFormat="1" ht="38.25" hidden="1" thickBot="1">
      <c r="A131" s="167">
        <v>10</v>
      </c>
      <c r="B131" s="103" t="s">
        <v>274</v>
      </c>
      <c r="C131" s="143"/>
      <c r="D131" s="143"/>
      <c r="E131" s="111"/>
    </row>
    <row r="132" spans="1:5" s="89" customFormat="1" ht="57" hidden="1" thickBot="1">
      <c r="A132" s="167">
        <v>11</v>
      </c>
      <c r="B132" s="103" t="s">
        <v>275</v>
      </c>
      <c r="C132" s="143"/>
      <c r="D132" s="143"/>
      <c r="E132" s="111"/>
    </row>
    <row r="133" spans="1:5" s="89" customFormat="1" ht="27" customHeight="1" hidden="1" thickBot="1">
      <c r="A133" s="167"/>
      <c r="B133" s="143"/>
      <c r="C133" s="143"/>
      <c r="D133" s="143"/>
      <c r="E133" s="111"/>
    </row>
    <row r="134" spans="1:5" s="89" customFormat="1" ht="19.5" hidden="1" thickBot="1">
      <c r="A134" s="167"/>
      <c r="B134" s="143"/>
      <c r="C134" s="143"/>
      <c r="D134" s="143"/>
      <c r="E134" s="111"/>
    </row>
    <row r="135" spans="1:5" s="89" customFormat="1" ht="19.5" hidden="1" thickBot="1">
      <c r="A135" s="167"/>
      <c r="B135" s="108" t="s">
        <v>138</v>
      </c>
      <c r="C135" s="66" t="s">
        <v>139</v>
      </c>
      <c r="D135" s="66" t="s">
        <v>139</v>
      </c>
      <c r="E135" s="112">
        <f>SUM(E122:E134)</f>
        <v>0</v>
      </c>
    </row>
    <row r="136" s="89" customFormat="1" ht="15"/>
    <row r="137" spans="1:5" s="89" customFormat="1" ht="37.5" customHeight="1">
      <c r="A137" s="304" t="s">
        <v>331</v>
      </c>
      <c r="B137" s="304"/>
      <c r="C137" s="304"/>
      <c r="D137" s="304"/>
      <c r="E137" s="304"/>
    </row>
    <row r="138" s="89" customFormat="1" ht="19.5" thickBot="1">
      <c r="A138" s="98"/>
    </row>
    <row r="139" spans="1:4" s="89" customFormat="1" ht="38.25" thickBot="1">
      <c r="A139" s="91" t="s">
        <v>0</v>
      </c>
      <c r="B139" s="144" t="s">
        <v>140</v>
      </c>
      <c r="C139" s="144" t="s">
        <v>182</v>
      </c>
      <c r="D139" s="144" t="s">
        <v>183</v>
      </c>
    </row>
    <row r="140" spans="1:4" s="89" customFormat="1" ht="19.5" thickBot="1">
      <c r="A140" s="167">
        <v>1</v>
      </c>
      <c r="B140" s="143">
        <v>2</v>
      </c>
      <c r="C140" s="143">
        <v>3</v>
      </c>
      <c r="D140" s="143">
        <v>4</v>
      </c>
    </row>
    <row r="141" spans="1:4" s="89" customFormat="1" ht="75" customHeight="1" thickBot="1">
      <c r="A141" s="167">
        <v>1</v>
      </c>
      <c r="B141" s="103" t="s">
        <v>327</v>
      </c>
      <c r="C141" s="143"/>
      <c r="D141" s="111">
        <v>139968</v>
      </c>
    </row>
    <row r="142" spans="1:4" s="89" customFormat="1" ht="24.75" customHeight="1" hidden="1" thickBot="1">
      <c r="A142" s="167">
        <v>2</v>
      </c>
      <c r="B142" s="103" t="s">
        <v>277</v>
      </c>
      <c r="C142" s="143"/>
      <c r="D142" s="111"/>
    </row>
    <row r="143" spans="1:4" s="89" customFormat="1" ht="62.25" customHeight="1" hidden="1" thickBot="1">
      <c r="A143" s="167">
        <v>3</v>
      </c>
      <c r="B143" s="103" t="s">
        <v>278</v>
      </c>
      <c r="C143" s="143"/>
      <c r="D143" s="111"/>
    </row>
    <row r="144" spans="1:4" s="89" customFormat="1" ht="24.75" customHeight="1" hidden="1" thickBot="1">
      <c r="A144" s="167">
        <v>4</v>
      </c>
      <c r="B144" s="103" t="s">
        <v>279</v>
      </c>
      <c r="C144" s="143"/>
      <c r="D144" s="111"/>
    </row>
    <row r="145" spans="1:4" s="89" customFormat="1" ht="24.75" customHeight="1" hidden="1" thickBot="1">
      <c r="A145" s="167"/>
      <c r="B145" s="143"/>
      <c r="C145" s="143"/>
      <c r="D145" s="111"/>
    </row>
    <row r="146" spans="1:4" s="89" customFormat="1" ht="19.5" hidden="1" thickBot="1">
      <c r="A146" s="167"/>
      <c r="B146" s="143"/>
      <c r="C146" s="143"/>
      <c r="D146" s="111"/>
    </row>
    <row r="147" spans="1:4" s="89" customFormat="1" ht="19.5" hidden="1" thickBot="1">
      <c r="A147" s="167"/>
      <c r="B147" s="143"/>
      <c r="C147" s="143"/>
      <c r="D147" s="111"/>
    </row>
    <row r="148" spans="1:4" s="89" customFormat="1" ht="19.5" thickBot="1">
      <c r="A148" s="167"/>
      <c r="B148" s="108" t="s">
        <v>138</v>
      </c>
      <c r="C148" s="66" t="s">
        <v>139</v>
      </c>
      <c r="D148" s="112">
        <f>D147+D146+D145+D144+D143+D142+D141</f>
        <v>139968</v>
      </c>
    </row>
    <row r="149" s="89" customFormat="1" ht="15"/>
    <row r="150" spans="1:6" s="89" customFormat="1" ht="51" customHeight="1">
      <c r="A150" s="304" t="s">
        <v>332</v>
      </c>
      <c r="B150" s="304"/>
      <c r="C150" s="304"/>
      <c r="D150" s="304"/>
      <c r="E150" s="304"/>
      <c r="F150" s="304"/>
    </row>
    <row r="151" s="89" customFormat="1" ht="15.75" thickBot="1"/>
    <row r="152" spans="1:5" s="89" customFormat="1" ht="57" thickBot="1">
      <c r="A152" s="91" t="s">
        <v>0</v>
      </c>
      <c r="B152" s="144" t="s">
        <v>140</v>
      </c>
      <c r="C152" s="144" t="s">
        <v>309</v>
      </c>
      <c r="D152" s="144" t="s">
        <v>184</v>
      </c>
      <c r="E152" s="144" t="s">
        <v>185</v>
      </c>
    </row>
    <row r="153" spans="1:5" s="89" customFormat="1" ht="19.5" thickBot="1">
      <c r="A153" s="167"/>
      <c r="B153" s="143">
        <v>1</v>
      </c>
      <c r="C153" s="143">
        <v>2</v>
      </c>
      <c r="D153" s="143">
        <v>3</v>
      </c>
      <c r="E153" s="143">
        <v>4</v>
      </c>
    </row>
    <row r="154" spans="1:5" s="89" customFormat="1" ht="87" customHeight="1" thickBot="1">
      <c r="A154" s="167"/>
      <c r="B154" s="103" t="s">
        <v>328</v>
      </c>
      <c r="C154" s="143"/>
      <c r="D154" s="111"/>
      <c r="E154" s="111">
        <v>50000</v>
      </c>
    </row>
    <row r="155" spans="1:5" s="89" customFormat="1" ht="50.25" customHeight="1" thickBot="1">
      <c r="A155" s="168"/>
      <c r="B155" s="110" t="s">
        <v>329</v>
      </c>
      <c r="C155" s="66"/>
      <c r="D155" s="112"/>
      <c r="E155" s="112">
        <f>E154</f>
        <v>50000</v>
      </c>
    </row>
    <row r="156" spans="1:5" s="89" customFormat="1" ht="85.5" customHeight="1" thickBot="1">
      <c r="A156" s="167"/>
      <c r="B156" s="103" t="s">
        <v>330</v>
      </c>
      <c r="C156" s="143"/>
      <c r="D156" s="111"/>
      <c r="E156" s="111">
        <v>43312</v>
      </c>
    </row>
    <row r="157" spans="1:5" s="89" customFormat="1" ht="50.25" customHeight="1" thickBot="1">
      <c r="A157" s="168"/>
      <c r="B157" s="110" t="s">
        <v>294</v>
      </c>
      <c r="C157" s="66"/>
      <c r="D157" s="112"/>
      <c r="E157" s="112">
        <f>E156</f>
        <v>43312</v>
      </c>
    </row>
    <row r="158" spans="1:6" s="89" customFormat="1" ht="51" customHeight="1">
      <c r="A158" s="304" t="s">
        <v>333</v>
      </c>
      <c r="B158" s="304"/>
      <c r="C158" s="304"/>
      <c r="D158" s="304"/>
      <c r="E158" s="304"/>
      <c r="F158" s="304"/>
    </row>
    <row r="159" s="89" customFormat="1" ht="15.75" thickBot="1"/>
    <row r="160" spans="1:5" s="89" customFormat="1" ht="57" thickBot="1">
      <c r="A160" s="91" t="s">
        <v>0</v>
      </c>
      <c r="B160" s="144" t="s">
        <v>140</v>
      </c>
      <c r="C160" s="144" t="s">
        <v>309</v>
      </c>
      <c r="D160" s="144" t="s">
        <v>184</v>
      </c>
      <c r="E160" s="144" t="s">
        <v>185</v>
      </c>
    </row>
    <row r="161" spans="1:5" s="89" customFormat="1" ht="19.5" thickBot="1">
      <c r="A161" s="167"/>
      <c r="B161" s="143">
        <v>1</v>
      </c>
      <c r="C161" s="143">
        <v>2</v>
      </c>
      <c r="D161" s="143">
        <v>3</v>
      </c>
      <c r="E161" s="143">
        <v>4</v>
      </c>
    </row>
    <row r="162" spans="1:5" s="89" customFormat="1" ht="49.5" customHeight="1" thickBot="1">
      <c r="A162" s="167"/>
      <c r="B162" s="103" t="s">
        <v>285</v>
      </c>
      <c r="C162" s="143"/>
      <c r="D162" s="111"/>
      <c r="E162" s="111">
        <f>SUM(E163:E164)</f>
        <v>6522399</v>
      </c>
    </row>
    <row r="163" spans="1:5" s="89" customFormat="1" ht="85.5" customHeight="1" thickBot="1">
      <c r="A163" s="167"/>
      <c r="B163" s="103" t="s">
        <v>312</v>
      </c>
      <c r="C163" s="143">
        <v>30450</v>
      </c>
      <c r="D163" s="111">
        <v>203.19</v>
      </c>
      <c r="E163" s="111">
        <f>C163*D163</f>
        <v>6187135.5</v>
      </c>
    </row>
    <row r="164" spans="1:5" s="89" customFormat="1" ht="85.5" customHeight="1" thickBot="1">
      <c r="A164" s="167"/>
      <c r="B164" s="103" t="s">
        <v>313</v>
      </c>
      <c r="C164" s="143">
        <v>3300</v>
      </c>
      <c r="D164" s="111">
        <f>D163/2</f>
        <v>101.595</v>
      </c>
      <c r="E164" s="111">
        <f>C164*D164</f>
        <v>335263.5</v>
      </c>
    </row>
    <row r="165" spans="1:5" s="89" customFormat="1" ht="50.25" customHeight="1" thickBot="1">
      <c r="A165" s="168"/>
      <c r="B165" s="110" t="s">
        <v>294</v>
      </c>
      <c r="C165" s="66"/>
      <c r="D165" s="112"/>
      <c r="E165" s="112">
        <f>E162</f>
        <v>6522399</v>
      </c>
    </row>
    <row r="167" ht="15.75">
      <c r="B167" s="124" t="s">
        <v>377</v>
      </c>
    </row>
    <row r="168" ht="15.75">
      <c r="B168" s="124" t="s">
        <v>381</v>
      </c>
    </row>
  </sheetData>
  <sheetProtection/>
  <mergeCells count="36">
    <mergeCell ref="A11:J11"/>
    <mergeCell ref="A13:J13"/>
    <mergeCell ref="A15:J15"/>
    <mergeCell ref="A16:J16"/>
    <mergeCell ref="A18:J18"/>
    <mergeCell ref="A20:A22"/>
    <mergeCell ref="B20:B22"/>
    <mergeCell ref="C20:C22"/>
    <mergeCell ref="D20:G20"/>
    <mergeCell ref="H20:H22"/>
    <mergeCell ref="I20:I22"/>
    <mergeCell ref="J20:J22"/>
    <mergeCell ref="D21:D22"/>
    <mergeCell ref="E21:G21"/>
    <mergeCell ref="A28:B28"/>
    <mergeCell ref="A31:F31"/>
    <mergeCell ref="A38:F38"/>
    <mergeCell ref="A45:E45"/>
    <mergeCell ref="A50:A51"/>
    <mergeCell ref="C50:C51"/>
    <mergeCell ref="D50:D51"/>
    <mergeCell ref="A57:F57"/>
    <mergeCell ref="A59:F59"/>
    <mergeCell ref="A60:F60"/>
    <mergeCell ref="A68:G68"/>
    <mergeCell ref="A71:G71"/>
    <mergeCell ref="A72:G72"/>
    <mergeCell ref="A80:I80"/>
    <mergeCell ref="A150:F150"/>
    <mergeCell ref="A158:F158"/>
    <mergeCell ref="A85:F85"/>
    <mergeCell ref="A92:F92"/>
    <mergeCell ref="A99:F99"/>
    <mergeCell ref="A111:E111"/>
    <mergeCell ref="A118:E118"/>
    <mergeCell ref="A137:E1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2" manualBreakCount="2">
    <brk id="149" max="9" man="1"/>
    <brk id="157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N58"/>
  <sheetViews>
    <sheetView view="pageBreakPreview" zoomScale="60" zoomScaleNormal="50" zoomScalePageLayoutView="0" workbookViewId="0" topLeftCell="A55">
      <selection activeCell="A1" sqref="A1:IV16384"/>
    </sheetView>
  </sheetViews>
  <sheetFormatPr defaultColWidth="28.8515625" defaultRowHeight="15"/>
  <cols>
    <col min="1" max="1" width="50.421875" style="219" customWidth="1"/>
    <col min="2" max="2" width="9.57421875" style="219" customWidth="1"/>
    <col min="3" max="3" width="27.7109375" style="219" customWidth="1"/>
    <col min="4" max="4" width="32.140625" style="219" customWidth="1"/>
    <col min="5" max="5" width="21.57421875" style="219" customWidth="1"/>
    <col min="6" max="7" width="18.57421875" style="219" customWidth="1"/>
    <col min="8" max="8" width="20.28125" style="219" customWidth="1"/>
    <col min="9" max="9" width="22.28125" style="219" customWidth="1"/>
    <col min="10" max="10" width="20.421875" style="219" customWidth="1"/>
    <col min="11" max="11" width="18.57421875" style="219" customWidth="1"/>
    <col min="12" max="12" width="23.8515625" style="219" customWidth="1"/>
    <col min="13" max="13" width="39.28125" style="219" customWidth="1"/>
    <col min="14" max="16384" width="28.8515625" style="219" customWidth="1"/>
  </cols>
  <sheetData>
    <row r="1" spans="1:12" ht="18.75">
      <c r="A1" s="304" t="s">
        <v>103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2" ht="18.75">
      <c r="A2" s="304" t="s">
        <v>369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</row>
    <row r="3" ht="15.75" thickBot="1">
      <c r="L3" s="219" t="s">
        <v>104</v>
      </c>
    </row>
    <row r="4" spans="1:12" ht="19.5" thickBot="1">
      <c r="A4" s="282" t="s">
        <v>1</v>
      </c>
      <c r="B4" s="282" t="s">
        <v>41</v>
      </c>
      <c r="C4" s="282" t="s">
        <v>95</v>
      </c>
      <c r="D4" s="295" t="s">
        <v>96</v>
      </c>
      <c r="E4" s="301"/>
      <c r="F4" s="301"/>
      <c r="G4" s="301"/>
      <c r="H4" s="301"/>
      <c r="I4" s="301"/>
      <c r="J4" s="301"/>
      <c r="K4" s="301"/>
      <c r="L4" s="296"/>
    </row>
    <row r="5" spans="1:12" ht="19.5" thickBot="1">
      <c r="A5" s="286"/>
      <c r="B5" s="286"/>
      <c r="C5" s="286"/>
      <c r="D5" s="316" t="s">
        <v>97</v>
      </c>
      <c r="E5" s="317"/>
      <c r="F5" s="318"/>
      <c r="G5" s="295" t="s">
        <v>22</v>
      </c>
      <c r="H5" s="301"/>
      <c r="I5" s="301"/>
      <c r="J5" s="301"/>
      <c r="K5" s="301"/>
      <c r="L5" s="296"/>
    </row>
    <row r="6" spans="1:12" ht="65.25" customHeight="1" thickBot="1">
      <c r="A6" s="286"/>
      <c r="B6" s="286"/>
      <c r="C6" s="286"/>
      <c r="D6" s="319"/>
      <c r="E6" s="320"/>
      <c r="F6" s="321"/>
      <c r="G6" s="322" t="s">
        <v>98</v>
      </c>
      <c r="H6" s="323"/>
      <c r="I6" s="324"/>
      <c r="J6" s="322" t="s">
        <v>99</v>
      </c>
      <c r="K6" s="323"/>
      <c r="L6" s="324"/>
    </row>
    <row r="7" spans="1:12" ht="71.25" customHeight="1" thickBot="1">
      <c r="A7" s="283"/>
      <c r="B7" s="283"/>
      <c r="C7" s="283"/>
      <c r="D7" s="226" t="s">
        <v>370</v>
      </c>
      <c r="E7" s="226" t="s">
        <v>371</v>
      </c>
      <c r="F7" s="226" t="s">
        <v>372</v>
      </c>
      <c r="G7" s="226" t="s">
        <v>370</v>
      </c>
      <c r="H7" s="226" t="s">
        <v>371</v>
      </c>
      <c r="I7" s="226" t="s">
        <v>372</v>
      </c>
      <c r="J7" s="226" t="s">
        <v>370</v>
      </c>
      <c r="K7" s="226" t="s">
        <v>371</v>
      </c>
      <c r="L7" s="226" t="s">
        <v>372</v>
      </c>
    </row>
    <row r="8" spans="1:12" ht="19.5" thickBot="1">
      <c r="A8" s="220">
        <v>1</v>
      </c>
      <c r="B8" s="143">
        <v>2</v>
      </c>
      <c r="C8" s="143">
        <v>3</v>
      </c>
      <c r="D8" s="143">
        <v>4</v>
      </c>
      <c r="E8" s="143">
        <v>5</v>
      </c>
      <c r="F8" s="143">
        <v>6</v>
      </c>
      <c r="G8" s="143">
        <v>7</v>
      </c>
      <c r="H8" s="143">
        <v>8</v>
      </c>
      <c r="I8" s="143">
        <v>9</v>
      </c>
      <c r="J8" s="143">
        <v>10</v>
      </c>
      <c r="K8" s="143">
        <v>11</v>
      </c>
      <c r="L8" s="143">
        <v>12</v>
      </c>
    </row>
    <row r="9" spans="1:14" ht="51.75" customHeight="1" thickBot="1">
      <c r="A9" s="208" t="s">
        <v>100</v>
      </c>
      <c r="B9" s="63" t="s">
        <v>242</v>
      </c>
      <c r="C9" s="143" t="s">
        <v>51</v>
      </c>
      <c r="D9" s="67">
        <f aca="true" t="shared" si="0" ref="D9:F12">J9</f>
        <v>16450744.59</v>
      </c>
      <c r="E9" s="67">
        <f t="shared" si="0"/>
        <v>13099884.030000001</v>
      </c>
      <c r="F9" s="67">
        <f t="shared" si="0"/>
        <v>13099884.030000001</v>
      </c>
      <c r="G9" s="67"/>
      <c r="H9" s="67"/>
      <c r="I9" s="67"/>
      <c r="J9" s="67">
        <f>J10+J11</f>
        <v>16450744.59</v>
      </c>
      <c r="K9" s="67">
        <f>K10+K11</f>
        <v>13099884.030000001</v>
      </c>
      <c r="L9" s="67">
        <f>L10+L11</f>
        <v>13099884.030000001</v>
      </c>
      <c r="M9" s="219" t="s">
        <v>243</v>
      </c>
      <c r="N9" s="60"/>
    </row>
    <row r="10" spans="1:12" s="212" customFormat="1" ht="57" thickBot="1">
      <c r="A10" s="209" t="s">
        <v>101</v>
      </c>
      <c r="B10" s="210">
        <v>1001</v>
      </c>
      <c r="C10" s="210" t="s">
        <v>51</v>
      </c>
      <c r="D10" s="211">
        <f t="shared" si="0"/>
        <v>0</v>
      </c>
      <c r="E10" s="211">
        <f t="shared" si="0"/>
        <v>0</v>
      </c>
      <c r="F10" s="211">
        <f t="shared" si="0"/>
        <v>0</v>
      </c>
      <c r="G10" s="211"/>
      <c r="H10" s="211"/>
      <c r="I10" s="211"/>
      <c r="J10" s="211">
        <v>0</v>
      </c>
      <c r="K10" s="211">
        <v>0</v>
      </c>
      <c r="L10" s="211">
        <v>0</v>
      </c>
    </row>
    <row r="11" spans="1:14" s="212" customFormat="1" ht="57" customHeight="1" thickBot="1">
      <c r="A11" s="209" t="s">
        <v>102</v>
      </c>
      <c r="B11" s="210">
        <v>2001</v>
      </c>
      <c r="C11" s="213"/>
      <c r="D11" s="211">
        <f t="shared" si="0"/>
        <v>16450744.59</v>
      </c>
      <c r="E11" s="211">
        <f t="shared" si="0"/>
        <v>13099884.030000001</v>
      </c>
      <c r="F11" s="211">
        <f t="shared" si="0"/>
        <v>13099884.030000001</v>
      </c>
      <c r="G11" s="211"/>
      <c r="H11" s="211"/>
      <c r="I11" s="211"/>
      <c r="J11" s="211">
        <f>SUM(J12:J50)</f>
        <v>16450744.59</v>
      </c>
      <c r="K11" s="211">
        <f>SUM(K12:K50)</f>
        <v>13099884.030000001</v>
      </c>
      <c r="L11" s="211">
        <f>SUM(L12:L50)</f>
        <v>13099884.030000001</v>
      </c>
      <c r="M11" s="214">
        <f>J9-'2018'!D47</f>
        <v>0</v>
      </c>
      <c r="N11" s="215"/>
    </row>
    <row r="12" spans="1:13" ht="25.5" customHeight="1" thickBot="1">
      <c r="A12" s="216" t="s">
        <v>338</v>
      </c>
      <c r="B12" s="143"/>
      <c r="C12" s="94"/>
      <c r="D12" s="51">
        <f t="shared" si="0"/>
        <v>24000</v>
      </c>
      <c r="E12" s="51">
        <f t="shared" si="0"/>
        <v>24000</v>
      </c>
      <c r="F12" s="51">
        <f t="shared" si="0"/>
        <v>24000</v>
      </c>
      <c r="G12" s="51"/>
      <c r="H12" s="51"/>
      <c r="I12" s="51"/>
      <c r="J12" s="51">
        <f>' Мун. 2018'!F90</f>
        <v>24000</v>
      </c>
      <c r="K12" s="51">
        <f>'Мун. 2019'!F90</f>
        <v>24000</v>
      </c>
      <c r="L12" s="51">
        <f>'Мун. 2020'!F90</f>
        <v>24000</v>
      </c>
      <c r="M12" s="60">
        <f>K9-' 2019'!D47</f>
        <v>0</v>
      </c>
    </row>
    <row r="13" spans="1:13" ht="25.5" customHeight="1" thickBot="1">
      <c r="A13" s="216" t="s">
        <v>342</v>
      </c>
      <c r="B13" s="143"/>
      <c r="C13" s="94"/>
      <c r="D13" s="51">
        <f aca="true" t="shared" si="1" ref="D13:D50">J13</f>
        <v>38000</v>
      </c>
      <c r="E13" s="51">
        <f aca="true" t="shared" si="2" ref="E13:E50">K13</f>
        <v>38000</v>
      </c>
      <c r="F13" s="51">
        <f aca="true" t="shared" si="3" ref="F13:F50">L13</f>
        <v>38000</v>
      </c>
      <c r="G13" s="51"/>
      <c r="H13" s="51"/>
      <c r="I13" s="51"/>
      <c r="J13" s="51">
        <f>' Мун. 2018'!E97</f>
        <v>38000</v>
      </c>
      <c r="K13" s="51">
        <f>'Мун. 2019'!E97</f>
        <v>38000</v>
      </c>
      <c r="L13" s="51">
        <f>'Мун. 2020'!E97</f>
        <v>38000</v>
      </c>
      <c r="M13" s="60">
        <f>L9-' 2020'!D47</f>
        <v>0</v>
      </c>
    </row>
    <row r="14" spans="1:12" ht="25.5" customHeight="1" thickBot="1">
      <c r="A14" s="216" t="s">
        <v>259</v>
      </c>
      <c r="B14" s="143"/>
      <c r="C14" s="94"/>
      <c r="D14" s="51">
        <f t="shared" si="1"/>
        <v>2168201.15</v>
      </c>
      <c r="E14" s="51">
        <f t="shared" si="2"/>
        <v>2254929.35</v>
      </c>
      <c r="F14" s="51">
        <f t="shared" si="3"/>
        <v>2345126.44</v>
      </c>
      <c r="G14" s="51"/>
      <c r="H14" s="51"/>
      <c r="I14" s="51"/>
      <c r="J14" s="51">
        <f>' Мун. 2018'!G103</f>
        <v>2168201.15</v>
      </c>
      <c r="K14" s="51">
        <f>'Мун. 2019'!G103</f>
        <v>2254929.35</v>
      </c>
      <c r="L14" s="51">
        <f>'Мун. 2020'!G103</f>
        <v>2345126.44</v>
      </c>
    </row>
    <row r="15" spans="1:12" ht="42" customHeight="1" thickBot="1">
      <c r="A15" s="216" t="s">
        <v>260</v>
      </c>
      <c r="B15" s="143"/>
      <c r="C15" s="94"/>
      <c r="D15" s="51">
        <f t="shared" si="1"/>
        <v>600018.67</v>
      </c>
      <c r="E15" s="51">
        <f t="shared" si="2"/>
        <v>624019.47</v>
      </c>
      <c r="F15" s="51">
        <f t="shared" si="3"/>
        <v>648980.19</v>
      </c>
      <c r="G15" s="51"/>
      <c r="H15" s="51"/>
      <c r="I15" s="51"/>
      <c r="J15" s="51">
        <f>' Мун. 2018'!G104</f>
        <v>600018.67</v>
      </c>
      <c r="K15" s="51">
        <f>'Мун. 2019'!G104</f>
        <v>624019.47</v>
      </c>
      <c r="L15" s="51">
        <f>'Мун. 2020'!G104</f>
        <v>648980.19</v>
      </c>
    </row>
    <row r="16" spans="1:12" ht="25.5" customHeight="1" thickBot="1">
      <c r="A16" s="216" t="s">
        <v>261</v>
      </c>
      <c r="B16" s="143"/>
      <c r="C16" s="94"/>
      <c r="D16" s="51">
        <f t="shared" si="1"/>
        <v>192893.64</v>
      </c>
      <c r="E16" s="51">
        <f t="shared" si="2"/>
        <v>198735.18000000002</v>
      </c>
      <c r="F16" s="51">
        <f t="shared" si="3"/>
        <v>204773.88</v>
      </c>
      <c r="G16" s="51"/>
      <c r="H16" s="51"/>
      <c r="I16" s="51"/>
      <c r="J16" s="51">
        <f>' Мун. 2018'!G105</f>
        <v>192893.64</v>
      </c>
      <c r="K16" s="51">
        <f>'Мун. 2019'!G105</f>
        <v>198735.18000000002</v>
      </c>
      <c r="L16" s="51">
        <f>'Мун. 2020'!G105</f>
        <v>204773.88</v>
      </c>
    </row>
    <row r="17" spans="1:12" ht="25.5" customHeight="1" thickBot="1">
      <c r="A17" s="216" t="s">
        <v>262</v>
      </c>
      <c r="B17" s="143"/>
      <c r="C17" s="94"/>
      <c r="D17" s="51">
        <f t="shared" si="1"/>
        <v>118998.44</v>
      </c>
      <c r="E17" s="51">
        <f t="shared" si="2"/>
        <v>127493.92</v>
      </c>
      <c r="F17" s="51">
        <f t="shared" si="3"/>
        <v>132592.33000000002</v>
      </c>
      <c r="G17" s="51"/>
      <c r="H17" s="51"/>
      <c r="I17" s="51"/>
      <c r="J17" s="51">
        <f>' Мун. 2018'!G106</f>
        <v>118998.44</v>
      </c>
      <c r="K17" s="51">
        <f>'Мун. 2019'!G106</f>
        <v>127493.92</v>
      </c>
      <c r="L17" s="51">
        <f>'Мун. 2020'!G106</f>
        <v>132592.33000000002</v>
      </c>
    </row>
    <row r="18" spans="1:12" ht="25.5" customHeight="1" thickBot="1">
      <c r="A18" s="216" t="s">
        <v>263</v>
      </c>
      <c r="B18" s="143"/>
      <c r="C18" s="94"/>
      <c r="D18" s="51">
        <f t="shared" si="1"/>
        <v>128438.37999999999</v>
      </c>
      <c r="E18" s="51">
        <f t="shared" si="2"/>
        <v>142345.33</v>
      </c>
      <c r="F18" s="51">
        <f t="shared" si="3"/>
        <v>148026.21</v>
      </c>
      <c r="G18" s="51"/>
      <c r="H18" s="51"/>
      <c r="I18" s="51"/>
      <c r="J18" s="51">
        <f>' Мун. 2018'!G107</f>
        <v>128438.37999999999</v>
      </c>
      <c r="K18" s="51">
        <f>'Мун. 2019'!G107</f>
        <v>142345.33</v>
      </c>
      <c r="L18" s="51">
        <f>'Мун. 2020'!G107</f>
        <v>148026.21</v>
      </c>
    </row>
    <row r="19" spans="1:12" ht="25.5" customHeight="1" thickBot="1">
      <c r="A19" s="216" t="s">
        <v>264</v>
      </c>
      <c r="B19" s="143"/>
      <c r="C19" s="94"/>
      <c r="D19" s="51">
        <f>J19</f>
        <v>52545.68</v>
      </c>
      <c r="E19" s="51">
        <f>K19</f>
        <v>56420.13</v>
      </c>
      <c r="F19" s="51">
        <f>L19</f>
        <v>58676.33</v>
      </c>
      <c r="G19" s="51"/>
      <c r="H19" s="51"/>
      <c r="I19" s="51"/>
      <c r="J19" s="51">
        <f>' Мун. 2018'!G108</f>
        <v>52545.68</v>
      </c>
      <c r="K19" s="51">
        <f>'Мун. 2019'!G108</f>
        <v>56420.13</v>
      </c>
      <c r="L19" s="51">
        <f>'Мун. 2020'!G108</f>
        <v>58676.33</v>
      </c>
    </row>
    <row r="20" spans="1:12" ht="25.5" customHeight="1" thickBot="1">
      <c r="A20" s="216" t="s">
        <v>267</v>
      </c>
      <c r="B20" s="143"/>
      <c r="C20" s="94"/>
      <c r="D20" s="51">
        <f t="shared" si="1"/>
        <v>9600</v>
      </c>
      <c r="E20" s="51">
        <f t="shared" si="2"/>
        <v>9600</v>
      </c>
      <c r="F20" s="51">
        <f t="shared" si="3"/>
        <v>9600</v>
      </c>
      <c r="G20" s="51"/>
      <c r="H20" s="51"/>
      <c r="I20" s="51"/>
      <c r="J20" s="51">
        <f>' Мун. 2018'!E122</f>
        <v>9600</v>
      </c>
      <c r="K20" s="51">
        <f>'Мун. 2019'!E122</f>
        <v>9600</v>
      </c>
      <c r="L20" s="51">
        <f>'Мун. 2020'!E122</f>
        <v>9600</v>
      </c>
    </row>
    <row r="21" spans="1:12" ht="53.25" customHeight="1" thickBot="1">
      <c r="A21" s="216" t="s">
        <v>354</v>
      </c>
      <c r="B21" s="143"/>
      <c r="C21" s="94"/>
      <c r="D21" s="51">
        <f t="shared" si="1"/>
        <v>72000</v>
      </c>
      <c r="E21" s="51">
        <f t="shared" si="2"/>
        <v>72000</v>
      </c>
      <c r="F21" s="51">
        <f t="shared" si="3"/>
        <v>72000</v>
      </c>
      <c r="G21" s="51"/>
      <c r="H21" s="51"/>
      <c r="I21" s="51"/>
      <c r="J21" s="51">
        <f>' Мун. 2018'!E123</f>
        <v>72000</v>
      </c>
      <c r="K21" s="51">
        <f>'Мун. 2019'!E123</f>
        <v>72000</v>
      </c>
      <c r="L21" s="51">
        <f>'Мун. 2020'!E123</f>
        <v>72000</v>
      </c>
    </row>
    <row r="22" spans="1:12" ht="53.25" customHeight="1" thickBot="1">
      <c r="A22" s="216" t="s">
        <v>339</v>
      </c>
      <c r="B22" s="143"/>
      <c r="C22" s="94"/>
      <c r="D22" s="51">
        <f t="shared" si="1"/>
        <v>72000</v>
      </c>
      <c r="E22" s="51">
        <f t="shared" si="2"/>
        <v>72000</v>
      </c>
      <c r="F22" s="51">
        <f t="shared" si="3"/>
        <v>72000</v>
      </c>
      <c r="G22" s="51"/>
      <c r="H22" s="51"/>
      <c r="I22" s="51"/>
      <c r="J22" s="51">
        <f>' Мун. 2018'!E124</f>
        <v>72000</v>
      </c>
      <c r="K22" s="51">
        <f>'Мун. 2019'!E124</f>
        <v>72000</v>
      </c>
      <c r="L22" s="51">
        <f>'Мун. 2020'!E124</f>
        <v>72000</v>
      </c>
    </row>
    <row r="23" spans="1:12" ht="53.25" customHeight="1" thickBot="1">
      <c r="A23" s="216" t="s">
        <v>355</v>
      </c>
      <c r="B23" s="143"/>
      <c r="C23" s="94"/>
      <c r="D23" s="51">
        <f t="shared" si="1"/>
        <v>120000</v>
      </c>
      <c r="E23" s="51">
        <f t="shared" si="2"/>
        <v>120000</v>
      </c>
      <c r="F23" s="51">
        <f t="shared" si="3"/>
        <v>120000</v>
      </c>
      <c r="G23" s="51"/>
      <c r="H23" s="51"/>
      <c r="I23" s="51"/>
      <c r="J23" s="51">
        <f>' Мун. 2018'!E125</f>
        <v>120000</v>
      </c>
      <c r="K23" s="51">
        <f>'Мун. 2019'!E125</f>
        <v>120000</v>
      </c>
      <c r="L23" s="51">
        <f>'Мун. 2020'!E125</f>
        <v>120000</v>
      </c>
    </row>
    <row r="24" spans="1:12" ht="53.25" customHeight="1" thickBot="1">
      <c r="A24" s="216" t="s">
        <v>356</v>
      </c>
      <c r="B24" s="143"/>
      <c r="C24" s="94"/>
      <c r="D24" s="51">
        <f t="shared" si="1"/>
        <v>94000</v>
      </c>
      <c r="E24" s="51">
        <f t="shared" si="2"/>
        <v>94000</v>
      </c>
      <c r="F24" s="51">
        <f t="shared" si="3"/>
        <v>94000</v>
      </c>
      <c r="G24" s="51"/>
      <c r="H24" s="51"/>
      <c r="I24" s="51"/>
      <c r="J24" s="51">
        <f>' Мун. 2018'!E126</f>
        <v>94000</v>
      </c>
      <c r="K24" s="51">
        <f>'Мун. 2019'!E126</f>
        <v>94000</v>
      </c>
      <c r="L24" s="51">
        <f>'Мун. 2020'!E126</f>
        <v>94000</v>
      </c>
    </row>
    <row r="25" spans="1:12" ht="66.75" customHeight="1" thickBot="1">
      <c r="A25" s="216" t="s">
        <v>357</v>
      </c>
      <c r="B25" s="143"/>
      <c r="C25" s="94"/>
      <c r="D25" s="51">
        <f t="shared" si="1"/>
        <v>36000</v>
      </c>
      <c r="E25" s="51">
        <f t="shared" si="2"/>
        <v>36000</v>
      </c>
      <c r="F25" s="51">
        <f t="shared" si="3"/>
        <v>36000</v>
      </c>
      <c r="G25" s="51"/>
      <c r="H25" s="51"/>
      <c r="I25" s="51"/>
      <c r="J25" s="51">
        <f>' Мун. 2018'!E127</f>
        <v>36000</v>
      </c>
      <c r="K25" s="51">
        <f>'Мун. 2019'!E127</f>
        <v>36000</v>
      </c>
      <c r="L25" s="51">
        <f>'Мун. 2020'!E127</f>
        <v>36000</v>
      </c>
    </row>
    <row r="26" spans="1:12" ht="53.25" customHeight="1" thickBot="1">
      <c r="A26" s="216" t="s">
        <v>272</v>
      </c>
      <c r="B26" s="143"/>
      <c r="C26" s="94"/>
      <c r="D26" s="51">
        <f t="shared" si="1"/>
        <v>310000</v>
      </c>
      <c r="E26" s="51">
        <f t="shared" si="2"/>
        <v>310000</v>
      </c>
      <c r="F26" s="51">
        <f t="shared" si="3"/>
        <v>260000</v>
      </c>
      <c r="G26" s="51"/>
      <c r="H26" s="51"/>
      <c r="I26" s="51"/>
      <c r="J26" s="51">
        <f>' Мун. 2018'!E128</f>
        <v>310000</v>
      </c>
      <c r="K26" s="51">
        <f>'Мун. 2019'!E128</f>
        <v>310000</v>
      </c>
      <c r="L26" s="51">
        <f>'Мун. 2020'!E128</f>
        <v>260000</v>
      </c>
    </row>
    <row r="27" spans="1:12" ht="53.25" customHeight="1" thickBot="1">
      <c r="A27" s="216" t="s">
        <v>340</v>
      </c>
      <c r="B27" s="143"/>
      <c r="C27" s="94"/>
      <c r="D27" s="51">
        <f t="shared" si="1"/>
        <v>8000</v>
      </c>
      <c r="E27" s="51">
        <f t="shared" si="2"/>
        <v>8000</v>
      </c>
      <c r="F27" s="51">
        <f t="shared" si="3"/>
        <v>8000</v>
      </c>
      <c r="G27" s="51"/>
      <c r="H27" s="51"/>
      <c r="I27" s="51"/>
      <c r="J27" s="51">
        <f>' Мун. 2018'!E129</f>
        <v>8000</v>
      </c>
      <c r="K27" s="51">
        <f>'Мун. 2019'!E129</f>
        <v>8000</v>
      </c>
      <c r="L27" s="51">
        <f>'Мун. 2020'!E129</f>
        <v>8000</v>
      </c>
    </row>
    <row r="28" spans="1:12" ht="53.25" customHeight="1" thickBot="1">
      <c r="A28" s="216" t="s">
        <v>318</v>
      </c>
      <c r="B28" s="143"/>
      <c r="C28" s="94"/>
      <c r="D28" s="51">
        <f t="shared" si="1"/>
        <v>91000</v>
      </c>
      <c r="E28" s="51">
        <f t="shared" si="2"/>
        <v>91000</v>
      </c>
      <c r="F28" s="51">
        <f t="shared" si="3"/>
        <v>91000</v>
      </c>
      <c r="G28" s="51"/>
      <c r="H28" s="51"/>
      <c r="I28" s="51"/>
      <c r="J28" s="51">
        <f>' Мун. 2018'!E130</f>
        <v>91000</v>
      </c>
      <c r="K28" s="51">
        <f>'Мун. 2019'!E130</f>
        <v>91000</v>
      </c>
      <c r="L28" s="51">
        <f>'Мун. 2020'!E130</f>
        <v>91000</v>
      </c>
    </row>
    <row r="29" spans="1:12" ht="53.25" customHeight="1" thickBot="1">
      <c r="A29" s="216" t="s">
        <v>319</v>
      </c>
      <c r="B29" s="143"/>
      <c r="C29" s="94"/>
      <c r="D29" s="51">
        <f t="shared" si="1"/>
        <v>30000</v>
      </c>
      <c r="E29" s="51">
        <f t="shared" si="2"/>
        <v>30000</v>
      </c>
      <c r="F29" s="51">
        <f t="shared" si="3"/>
        <v>30000</v>
      </c>
      <c r="G29" s="51"/>
      <c r="H29" s="51"/>
      <c r="I29" s="51"/>
      <c r="J29" s="51">
        <f>' Мун. 2018'!E131</f>
        <v>30000</v>
      </c>
      <c r="K29" s="51">
        <f>J29</f>
        <v>30000</v>
      </c>
      <c r="L29" s="51">
        <f>J29</f>
        <v>30000</v>
      </c>
    </row>
    <row r="30" spans="1:12" ht="53.25" customHeight="1" thickBot="1">
      <c r="A30" s="216" t="s">
        <v>274</v>
      </c>
      <c r="B30" s="143"/>
      <c r="C30" s="94"/>
      <c r="D30" s="51">
        <f t="shared" si="1"/>
        <v>30000</v>
      </c>
      <c r="E30" s="51">
        <f t="shared" si="2"/>
        <v>30000</v>
      </c>
      <c r="F30" s="51">
        <f t="shared" si="3"/>
        <v>30000</v>
      </c>
      <c r="G30" s="51"/>
      <c r="H30" s="51"/>
      <c r="I30" s="51"/>
      <c r="J30" s="51">
        <f>' Мун. 2018'!E132</f>
        <v>30000</v>
      </c>
      <c r="K30" s="51">
        <f>'Мун. 2019'!E132</f>
        <v>30000</v>
      </c>
      <c r="L30" s="51">
        <f>'Мун. 2020'!E132</f>
        <v>30000</v>
      </c>
    </row>
    <row r="31" spans="1:12" ht="53.25" customHeight="1" thickBot="1">
      <c r="A31" s="216" t="s">
        <v>358</v>
      </c>
      <c r="B31" s="143"/>
      <c r="C31" s="94"/>
      <c r="D31" s="51">
        <f t="shared" si="1"/>
        <v>40000</v>
      </c>
      <c r="E31" s="51">
        <f t="shared" si="2"/>
        <v>40000</v>
      </c>
      <c r="F31" s="51">
        <f t="shared" si="3"/>
        <v>40000</v>
      </c>
      <c r="G31" s="51"/>
      <c r="H31" s="51"/>
      <c r="I31" s="51"/>
      <c r="J31" s="51">
        <f>' Мун. 2018'!E133</f>
        <v>40000</v>
      </c>
      <c r="K31" s="51">
        <f>'Мун. 2019'!E133</f>
        <v>40000</v>
      </c>
      <c r="L31" s="51">
        <f>'Мун. 2020'!E133</f>
        <v>40000</v>
      </c>
    </row>
    <row r="32" spans="1:12" ht="53.25" customHeight="1" thickBot="1">
      <c r="A32" s="216" t="s">
        <v>359</v>
      </c>
      <c r="B32" s="143"/>
      <c r="C32" s="94"/>
      <c r="D32" s="51">
        <f t="shared" si="1"/>
        <v>36000</v>
      </c>
      <c r="E32" s="51">
        <f t="shared" si="2"/>
        <v>36000</v>
      </c>
      <c r="F32" s="51">
        <f t="shared" si="3"/>
        <v>36000</v>
      </c>
      <c r="G32" s="51"/>
      <c r="H32" s="51"/>
      <c r="I32" s="51"/>
      <c r="J32" s="51">
        <f>' Мун. 2018'!E134</f>
        <v>36000</v>
      </c>
      <c r="K32" s="51">
        <f>'Мун. 2019'!E134</f>
        <v>36000</v>
      </c>
      <c r="L32" s="51">
        <f>'Мун. 2020'!E134</f>
        <v>36000</v>
      </c>
    </row>
    <row r="33" spans="1:12" ht="53.25" customHeight="1" thickBot="1">
      <c r="A33" s="216" t="s">
        <v>276</v>
      </c>
      <c r="B33" s="143"/>
      <c r="C33" s="94"/>
      <c r="D33" s="51">
        <f t="shared" si="1"/>
        <v>96000</v>
      </c>
      <c r="E33" s="51">
        <f t="shared" si="2"/>
        <v>96000</v>
      </c>
      <c r="F33" s="51">
        <f t="shared" si="3"/>
        <v>96000</v>
      </c>
      <c r="G33" s="51"/>
      <c r="H33" s="51"/>
      <c r="I33" s="51"/>
      <c r="J33" s="51">
        <f>' Мун. 2018'!D143</f>
        <v>96000</v>
      </c>
      <c r="K33" s="51">
        <f>'Мун. 2019'!D143</f>
        <v>96000</v>
      </c>
      <c r="L33" s="51">
        <f>'Мун. 2020'!D143</f>
        <v>96000</v>
      </c>
    </row>
    <row r="34" spans="1:12" ht="53.25" customHeight="1" thickBot="1">
      <c r="A34" s="216" t="s">
        <v>360</v>
      </c>
      <c r="B34" s="143"/>
      <c r="C34" s="94"/>
      <c r="D34" s="51">
        <f t="shared" si="1"/>
        <v>90000</v>
      </c>
      <c r="E34" s="51">
        <f t="shared" si="2"/>
        <v>90000</v>
      </c>
      <c r="F34" s="51">
        <f t="shared" si="3"/>
        <v>90000</v>
      </c>
      <c r="G34" s="51"/>
      <c r="H34" s="51"/>
      <c r="I34" s="51"/>
      <c r="J34" s="51">
        <f>' Мун. 2018'!D144</f>
        <v>90000</v>
      </c>
      <c r="K34" s="51">
        <f>'Мун. 2019'!D144</f>
        <v>90000</v>
      </c>
      <c r="L34" s="51">
        <f>'Мун. 2020'!D144</f>
        <v>90000</v>
      </c>
    </row>
    <row r="35" spans="1:12" ht="53.25" customHeight="1" thickBot="1">
      <c r="A35" s="216" t="s">
        <v>361</v>
      </c>
      <c r="B35" s="143"/>
      <c r="C35" s="94"/>
      <c r="D35" s="51">
        <f>J35</f>
        <v>120000</v>
      </c>
      <c r="E35" s="51">
        <f>K35</f>
        <v>120000</v>
      </c>
      <c r="F35" s="51">
        <f>L35</f>
        <v>120000</v>
      </c>
      <c r="G35" s="51"/>
      <c r="H35" s="51"/>
      <c r="I35" s="51"/>
      <c r="J35" s="51">
        <f>' Мун. 2018'!D145</f>
        <v>120000</v>
      </c>
      <c r="K35" s="51">
        <f>'Мун. 2019'!D145</f>
        <v>120000</v>
      </c>
      <c r="L35" s="51">
        <f>'Мун. 2020'!D145</f>
        <v>120000</v>
      </c>
    </row>
    <row r="36" spans="1:12" ht="53.25" customHeight="1" thickBot="1">
      <c r="A36" s="216" t="s">
        <v>362</v>
      </c>
      <c r="B36" s="143"/>
      <c r="C36" s="94"/>
      <c r="D36" s="51">
        <f t="shared" si="1"/>
        <v>36000</v>
      </c>
      <c r="E36" s="51">
        <f t="shared" si="2"/>
        <v>36000</v>
      </c>
      <c r="F36" s="51">
        <f t="shared" si="3"/>
        <v>36000</v>
      </c>
      <c r="G36" s="51"/>
      <c r="H36" s="51"/>
      <c r="I36" s="51"/>
      <c r="J36" s="51">
        <f>' Мун. 2018'!D146</f>
        <v>36000</v>
      </c>
      <c r="K36" s="51">
        <f>'Мун. 2019'!D146</f>
        <v>36000</v>
      </c>
      <c r="L36" s="51">
        <f>'Мун. 2020'!D146</f>
        <v>36000</v>
      </c>
    </row>
    <row r="37" spans="1:12" ht="53.25" customHeight="1" thickBot="1">
      <c r="A37" s="216" t="s">
        <v>279</v>
      </c>
      <c r="B37" s="143"/>
      <c r="C37" s="94"/>
      <c r="D37" s="51">
        <f t="shared" si="1"/>
        <v>146000</v>
      </c>
      <c r="E37" s="51">
        <f t="shared" si="2"/>
        <v>140000</v>
      </c>
      <c r="F37" s="51">
        <f t="shared" si="3"/>
        <v>130000</v>
      </c>
      <c r="G37" s="51"/>
      <c r="H37" s="51"/>
      <c r="I37" s="51"/>
      <c r="J37" s="51">
        <f>' Мун. 2018'!D147</f>
        <v>146000</v>
      </c>
      <c r="K37" s="51">
        <f>'Мун. 2019'!D147</f>
        <v>140000</v>
      </c>
      <c r="L37" s="51">
        <f>'Мун. 2020'!D147</f>
        <v>130000</v>
      </c>
    </row>
    <row r="38" spans="1:12" ht="53.25" customHeight="1" thickBot="1">
      <c r="A38" s="216" t="s">
        <v>320</v>
      </c>
      <c r="B38" s="143"/>
      <c r="C38" s="94"/>
      <c r="D38" s="51">
        <f aca="true" t="shared" si="4" ref="D38:F41">J38</f>
        <v>35000</v>
      </c>
      <c r="E38" s="51">
        <f t="shared" si="4"/>
        <v>35000</v>
      </c>
      <c r="F38" s="51">
        <f t="shared" si="4"/>
        <v>35000</v>
      </c>
      <c r="G38" s="51"/>
      <c r="H38" s="51"/>
      <c r="I38" s="51"/>
      <c r="J38" s="51">
        <f>' Мун. 2018'!D148</f>
        <v>35000</v>
      </c>
      <c r="K38" s="51">
        <f>'Мун. 2019'!D148</f>
        <v>35000</v>
      </c>
      <c r="L38" s="51">
        <f>'Мун. 2020'!D148</f>
        <v>35000</v>
      </c>
    </row>
    <row r="39" spans="1:12" ht="53.25" customHeight="1" thickBot="1">
      <c r="A39" s="216" t="s">
        <v>321</v>
      </c>
      <c r="B39" s="143"/>
      <c r="C39" s="94"/>
      <c r="D39" s="51">
        <f t="shared" si="4"/>
        <v>30000</v>
      </c>
      <c r="E39" s="51">
        <f t="shared" si="4"/>
        <v>30000</v>
      </c>
      <c r="F39" s="51">
        <f t="shared" si="4"/>
        <v>30000</v>
      </c>
      <c r="G39" s="51"/>
      <c r="H39" s="51"/>
      <c r="I39" s="51"/>
      <c r="J39" s="51">
        <f>' Мун. 2018'!D149</f>
        <v>30000</v>
      </c>
      <c r="K39" s="51">
        <f>'Мун. 2019'!D149</f>
        <v>30000</v>
      </c>
      <c r="L39" s="51">
        <f>'Мун. 2020'!D149</f>
        <v>30000</v>
      </c>
    </row>
    <row r="40" spans="1:12" ht="53.25" customHeight="1" thickBot="1">
      <c r="A40" s="103" t="s">
        <v>378</v>
      </c>
      <c r="B40" s="143"/>
      <c r="C40" s="94"/>
      <c r="D40" s="51">
        <f>J40</f>
        <v>300000</v>
      </c>
      <c r="E40" s="51">
        <f>K40</f>
        <v>163152.58000000002</v>
      </c>
      <c r="F40" s="51">
        <f>L40</f>
        <v>163152.58000000002</v>
      </c>
      <c r="G40" s="51"/>
      <c r="H40" s="51"/>
      <c r="I40" s="51"/>
      <c r="J40" s="51">
        <f>' Мун. 2018'!E135</f>
        <v>300000</v>
      </c>
      <c r="K40" s="51">
        <f>'Мун. 2019'!E135</f>
        <v>163152.58000000002</v>
      </c>
      <c r="L40" s="51">
        <f>'Мун. 2020'!E135</f>
        <v>163152.58000000002</v>
      </c>
    </row>
    <row r="41" spans="1:12" ht="53.25" customHeight="1" thickBot="1">
      <c r="A41" s="103" t="s">
        <v>379</v>
      </c>
      <c r="B41" s="143"/>
      <c r="C41" s="94"/>
      <c r="D41" s="51">
        <f t="shared" si="4"/>
        <v>2976582.8000000003</v>
      </c>
      <c r="E41" s="51">
        <f t="shared" si="4"/>
        <v>49222.24</v>
      </c>
      <c r="F41" s="51">
        <f t="shared" si="4"/>
        <v>15222.239999999998</v>
      </c>
      <c r="G41" s="51"/>
      <c r="H41" s="51"/>
      <c r="I41" s="51"/>
      <c r="J41" s="51">
        <f>' Мун. 2018'!E136+'2018'!F56+'2018'!F57</f>
        <v>2976582.8000000003</v>
      </c>
      <c r="K41" s="51">
        <f>'Мун. 2019'!E136</f>
        <v>49222.24</v>
      </c>
      <c r="L41" s="51">
        <f>'Мун. 2020'!E136</f>
        <v>15222.239999999998</v>
      </c>
    </row>
    <row r="42" spans="1:12" ht="53.25" customHeight="1" thickBot="1">
      <c r="A42" s="216" t="s">
        <v>322</v>
      </c>
      <c r="B42" s="143"/>
      <c r="C42" s="94"/>
      <c r="D42" s="51">
        <f t="shared" si="1"/>
        <v>90000</v>
      </c>
      <c r="E42" s="51">
        <f t="shared" si="2"/>
        <v>90000</v>
      </c>
      <c r="F42" s="51">
        <f t="shared" si="3"/>
        <v>90000</v>
      </c>
      <c r="G42" s="51"/>
      <c r="H42" s="51"/>
      <c r="I42" s="51"/>
      <c r="J42" s="51">
        <f>' Мун. 2018'!D150</f>
        <v>90000</v>
      </c>
      <c r="K42" s="51">
        <f>'Мун. 2019'!D150</f>
        <v>90000</v>
      </c>
      <c r="L42" s="51">
        <f>'Мун. 2020'!D150</f>
        <v>90000</v>
      </c>
    </row>
    <row r="43" spans="1:12" ht="53.25" customHeight="1" thickBot="1">
      <c r="A43" s="216" t="s">
        <v>327</v>
      </c>
      <c r="B43" s="143"/>
      <c r="C43" s="94"/>
      <c r="D43" s="51">
        <f t="shared" si="1"/>
        <v>139968</v>
      </c>
      <c r="E43" s="51">
        <f t="shared" si="2"/>
        <v>139968</v>
      </c>
      <c r="F43" s="51">
        <f t="shared" si="3"/>
        <v>139968</v>
      </c>
      <c r="G43" s="51"/>
      <c r="H43" s="51"/>
      <c r="I43" s="51"/>
      <c r="J43" s="51">
        <f>' ПДД 2018'!D141</f>
        <v>139968</v>
      </c>
      <c r="K43" s="51">
        <f>' ПДД 2019'!D148</f>
        <v>139968</v>
      </c>
      <c r="L43" s="51">
        <f>' ПДД 2020'!D148</f>
        <v>139968</v>
      </c>
    </row>
    <row r="44" spans="1:12" ht="53.25" customHeight="1" thickBot="1">
      <c r="A44" s="216" t="s">
        <v>328</v>
      </c>
      <c r="B44" s="143"/>
      <c r="C44" s="94"/>
      <c r="D44" s="51">
        <f t="shared" si="1"/>
        <v>50000</v>
      </c>
      <c r="E44" s="51">
        <f t="shared" si="2"/>
        <v>50000</v>
      </c>
      <c r="F44" s="51">
        <f t="shared" si="3"/>
        <v>50000</v>
      </c>
      <c r="G44" s="51"/>
      <c r="H44" s="51"/>
      <c r="I44" s="51"/>
      <c r="J44" s="51">
        <f>' ПДД 2018'!E154</f>
        <v>50000</v>
      </c>
      <c r="K44" s="51">
        <f>' ПДД 2019'!E155</f>
        <v>50000</v>
      </c>
      <c r="L44" s="51">
        <f>' ПДД 2020'!E155</f>
        <v>50000</v>
      </c>
    </row>
    <row r="45" spans="1:12" ht="83.25" customHeight="1" thickBot="1">
      <c r="A45" s="216" t="s">
        <v>364</v>
      </c>
      <c r="B45" s="143"/>
      <c r="C45" s="94"/>
      <c r="D45" s="51">
        <f t="shared" si="1"/>
        <v>57500</v>
      </c>
      <c r="E45" s="51">
        <f t="shared" si="2"/>
        <v>0</v>
      </c>
      <c r="F45" s="51">
        <f t="shared" si="3"/>
        <v>0</v>
      </c>
      <c r="G45" s="51"/>
      <c r="H45" s="51"/>
      <c r="I45" s="51"/>
      <c r="J45" s="51">
        <v>57500</v>
      </c>
      <c r="K45" s="51">
        <v>0</v>
      </c>
      <c r="L45" s="51">
        <v>0</v>
      </c>
    </row>
    <row r="46" spans="1:12" ht="80.25" customHeight="1" thickBot="1">
      <c r="A46" s="216" t="s">
        <v>365</v>
      </c>
      <c r="B46" s="143"/>
      <c r="C46" s="94"/>
      <c r="D46" s="51">
        <f>J46</f>
        <v>366000</v>
      </c>
      <c r="E46" s="51">
        <f>K46</f>
        <v>0</v>
      </c>
      <c r="F46" s="51">
        <f>L46</f>
        <v>0</v>
      </c>
      <c r="G46" s="51"/>
      <c r="H46" s="51"/>
      <c r="I46" s="51"/>
      <c r="J46" s="51">
        <v>366000</v>
      </c>
      <c r="K46" s="51">
        <v>0</v>
      </c>
      <c r="L46" s="51">
        <v>0</v>
      </c>
    </row>
    <row r="47" spans="1:12" ht="65.25" customHeight="1" thickBot="1">
      <c r="A47" s="216" t="s">
        <v>363</v>
      </c>
      <c r="B47" s="143"/>
      <c r="C47" s="94"/>
      <c r="D47" s="51">
        <f t="shared" si="1"/>
        <v>88183.82999999999</v>
      </c>
      <c r="E47" s="51">
        <f t="shared" si="2"/>
        <v>88183.82999999999</v>
      </c>
      <c r="F47" s="51">
        <f t="shared" si="3"/>
        <v>47951.82999999999</v>
      </c>
      <c r="G47" s="51"/>
      <c r="H47" s="51"/>
      <c r="I47" s="51"/>
      <c r="J47" s="51">
        <f>' Мун. 2018'!E160</f>
        <v>88183.82999999999</v>
      </c>
      <c r="K47" s="51">
        <f>'Мун. 2019'!E160</f>
        <v>88183.82999999999</v>
      </c>
      <c r="L47" s="51">
        <f>'Мун. 2020'!E160</f>
        <v>47951.82999999999</v>
      </c>
    </row>
    <row r="48" spans="1:12" ht="65.25" customHeight="1" thickBot="1">
      <c r="A48" s="216" t="s">
        <v>286</v>
      </c>
      <c r="B48" s="143"/>
      <c r="C48" s="94"/>
      <c r="D48" s="51">
        <f t="shared" si="1"/>
        <v>932103</v>
      </c>
      <c r="E48" s="51">
        <f t="shared" si="2"/>
        <v>932103</v>
      </c>
      <c r="F48" s="51">
        <f t="shared" si="3"/>
        <v>932103</v>
      </c>
      <c r="G48" s="51"/>
      <c r="H48" s="51"/>
      <c r="I48" s="51"/>
      <c r="J48" s="51">
        <f>' Мун. 2018'!E162</f>
        <v>932103</v>
      </c>
      <c r="K48" s="51">
        <f>'Мун. 2019'!E162</f>
        <v>932103</v>
      </c>
      <c r="L48" s="51">
        <f>'Мун. 2020'!E162</f>
        <v>932103</v>
      </c>
    </row>
    <row r="49" spans="1:12" ht="65.25" customHeight="1" thickBot="1">
      <c r="A49" s="216" t="s">
        <v>330</v>
      </c>
      <c r="B49" s="143"/>
      <c r="C49" s="94"/>
      <c r="D49" s="51">
        <f>J49</f>
        <v>43312</v>
      </c>
      <c r="E49" s="51">
        <f>K49</f>
        <v>43312</v>
      </c>
      <c r="F49" s="51">
        <f>L49</f>
        <v>43312</v>
      </c>
      <c r="G49" s="51"/>
      <c r="H49" s="51"/>
      <c r="I49" s="51"/>
      <c r="J49" s="51">
        <f>' ПДД 2018'!E156</f>
        <v>43312</v>
      </c>
      <c r="K49" s="51">
        <f>' ПДД 2019'!E157</f>
        <v>43312</v>
      </c>
      <c r="L49" s="51">
        <f>' ПДД 2020'!E157</f>
        <v>43312</v>
      </c>
    </row>
    <row r="50" spans="1:12" ht="53.25" customHeight="1" thickBot="1">
      <c r="A50" s="216" t="s">
        <v>323</v>
      </c>
      <c r="B50" s="143"/>
      <c r="C50" s="94"/>
      <c r="D50" s="51">
        <f t="shared" si="1"/>
        <v>6582399</v>
      </c>
      <c r="E50" s="51">
        <f t="shared" si="2"/>
        <v>6582399</v>
      </c>
      <c r="F50" s="51">
        <f t="shared" si="3"/>
        <v>6582399</v>
      </c>
      <c r="G50" s="51"/>
      <c r="H50" s="51"/>
      <c r="I50" s="51"/>
      <c r="J50" s="51">
        <f>' Мун. 2018'!E161+' ПДД 2018'!E165</f>
        <v>6582399</v>
      </c>
      <c r="K50" s="51">
        <f>'Мун. 2019'!E161+' ПДД 2019'!E165</f>
        <v>6582399</v>
      </c>
      <c r="L50" s="51">
        <f>'Мун. 2019'!E161+' ПДД 2020'!E165</f>
        <v>6582399</v>
      </c>
    </row>
    <row r="58" ht="15">
      <c r="E58" s="60"/>
    </row>
  </sheetData>
  <sheetProtection/>
  <mergeCells count="10">
    <mergeCell ref="A1:L1"/>
    <mergeCell ref="A2:L2"/>
    <mergeCell ref="A4:A7"/>
    <mergeCell ref="B4:B7"/>
    <mergeCell ref="C4:C7"/>
    <mergeCell ref="D4:L4"/>
    <mergeCell ref="D5:F6"/>
    <mergeCell ref="G5:L5"/>
    <mergeCell ref="G6:I6"/>
    <mergeCell ref="J6:L6"/>
  </mergeCells>
  <hyperlinks>
    <hyperlink ref="G6" r:id="rId1" display="consultantplus://offline/ref=EC513630DD0A2F9B2EC0205798B851993A5256DB8AC84308CDDA19182EHCNCC"/>
    <hyperlink ref="J6" r:id="rId2" display="consultantplus://offline/ref=EC513630DD0A2F9B2EC0205798B851993A5256DC8DCE4308CDDA19182EHCNC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rowBreaks count="1" manualBreakCount="1">
    <brk id="28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2:L23"/>
  <sheetViews>
    <sheetView tabSelected="1" view="pageBreakPreview" zoomScale="60" zoomScaleNormal="55" zoomScalePageLayoutView="0" workbookViewId="0" topLeftCell="A1">
      <selection activeCell="E18" sqref="E18"/>
    </sheetView>
  </sheetViews>
  <sheetFormatPr defaultColWidth="28.8515625" defaultRowHeight="15"/>
  <cols>
    <col min="1" max="1" width="38.8515625" style="75" customWidth="1"/>
    <col min="2" max="2" width="9.57421875" style="75" customWidth="1"/>
    <col min="3" max="3" width="27.7109375" style="75" customWidth="1"/>
    <col min="4" max="4" width="32.140625" style="75" customWidth="1"/>
    <col min="5" max="5" width="21.57421875" style="75" customWidth="1"/>
    <col min="6" max="7" width="18.57421875" style="75" customWidth="1"/>
    <col min="8" max="8" width="20.28125" style="75" customWidth="1"/>
    <col min="9" max="9" width="22.28125" style="75" customWidth="1"/>
    <col min="10" max="10" width="15.421875" style="75" customWidth="1"/>
    <col min="11" max="11" width="16.8515625" style="75" customWidth="1"/>
    <col min="12" max="12" width="23.8515625" style="75" customWidth="1"/>
    <col min="13" max="13" width="36.421875" style="75" customWidth="1"/>
    <col min="14" max="16384" width="28.8515625" style="75" customWidth="1"/>
  </cols>
  <sheetData>
    <row r="2" spans="2:8" ht="48.75" customHeight="1">
      <c r="B2" s="262" t="s">
        <v>341</v>
      </c>
      <c r="C2" s="262"/>
      <c r="D2" s="262"/>
      <c r="E2" s="262"/>
      <c r="F2" s="262"/>
      <c r="G2" s="262"/>
      <c r="H2" s="262"/>
    </row>
    <row r="3" spans="1:12" ht="18.75">
      <c r="A3" s="329" t="s">
        <v>374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</row>
    <row r="4" spans="2:6" ht="15">
      <c r="B4" s="330" t="s">
        <v>109</v>
      </c>
      <c r="C4" s="330"/>
      <c r="D4" s="330"/>
      <c r="E4" s="330"/>
      <c r="F4" s="330"/>
    </row>
    <row r="5" spans="2:6" ht="19.5" thickBot="1">
      <c r="B5" s="73"/>
      <c r="C5" s="73"/>
      <c r="D5" s="73"/>
      <c r="E5" s="75" t="s">
        <v>110</v>
      </c>
      <c r="F5" s="73"/>
    </row>
    <row r="6" spans="3:5" ht="18.75">
      <c r="C6" s="263" t="s">
        <v>1</v>
      </c>
      <c r="D6" s="263" t="s">
        <v>41</v>
      </c>
      <c r="E6" s="149" t="s">
        <v>105</v>
      </c>
    </row>
    <row r="7" spans="3:5" ht="94.5" thickBot="1">
      <c r="C7" s="264"/>
      <c r="D7" s="264"/>
      <c r="E7" s="106" t="s">
        <v>106</v>
      </c>
    </row>
    <row r="8" spans="3:5" ht="19.5" thickBot="1">
      <c r="C8" s="148">
        <v>1</v>
      </c>
      <c r="D8" s="106">
        <v>2</v>
      </c>
      <c r="E8" s="106">
        <v>3</v>
      </c>
    </row>
    <row r="9" spans="3:5" ht="38.25" thickBot="1">
      <c r="C9" s="147" t="s">
        <v>50</v>
      </c>
      <c r="D9" s="106">
        <v>10</v>
      </c>
      <c r="E9" s="119">
        <v>0</v>
      </c>
    </row>
    <row r="10" spans="3:5" ht="38.25" thickBot="1">
      <c r="C10" s="147" t="s">
        <v>90</v>
      </c>
      <c r="D10" s="106">
        <v>20</v>
      </c>
      <c r="E10" s="4"/>
    </row>
    <row r="11" spans="3:5" ht="19.5" thickBot="1">
      <c r="C11" s="147" t="s">
        <v>107</v>
      </c>
      <c r="D11" s="106">
        <v>30</v>
      </c>
      <c r="E11" s="4"/>
    </row>
    <row r="12" spans="3:5" ht="19.5" thickBot="1">
      <c r="C12" s="147"/>
      <c r="D12" s="4"/>
      <c r="E12" s="4"/>
    </row>
    <row r="13" spans="3:5" ht="19.5" thickBot="1">
      <c r="C13" s="147" t="s">
        <v>108</v>
      </c>
      <c r="D13" s="106">
        <v>40</v>
      </c>
      <c r="E13" s="58">
        <v>0</v>
      </c>
    </row>
    <row r="14" spans="3:5" ht="19.5" thickBot="1">
      <c r="C14" s="147"/>
      <c r="D14" s="4"/>
      <c r="E14" s="4"/>
    </row>
    <row r="16" ht="18.75">
      <c r="A16" s="150"/>
    </row>
    <row r="17" spans="1:6" ht="67.5" customHeight="1">
      <c r="A17" s="239" t="s">
        <v>253</v>
      </c>
      <c r="B17" s="239"/>
      <c r="C17" s="325" t="s">
        <v>316</v>
      </c>
      <c r="D17" s="325"/>
      <c r="E17" s="326" t="s">
        <v>382</v>
      </c>
      <c r="F17" s="326"/>
    </row>
    <row r="18" spans="1:4" ht="26.25" customHeight="1">
      <c r="A18" s="150" t="s">
        <v>117</v>
      </c>
      <c r="C18" s="327" t="s">
        <v>115</v>
      </c>
      <c r="D18" s="327"/>
    </row>
    <row r="19" spans="1:4" ht="18.75">
      <c r="A19" s="150" t="s">
        <v>111</v>
      </c>
      <c r="B19" s="75" t="s">
        <v>113</v>
      </c>
      <c r="D19" s="151"/>
    </row>
    <row r="20" ht="18.75">
      <c r="A20" s="150" t="s">
        <v>112</v>
      </c>
    </row>
    <row r="21" ht="18.75">
      <c r="A21" s="150"/>
    </row>
    <row r="22" spans="1:6" ht="37.5" customHeight="1">
      <c r="A22" s="150" t="s">
        <v>114</v>
      </c>
      <c r="C22" s="328" t="s">
        <v>373</v>
      </c>
      <c r="D22" s="328"/>
      <c r="E22" s="326" t="s">
        <v>381</v>
      </c>
      <c r="F22" s="326"/>
    </row>
    <row r="23" spans="1:4" ht="45" customHeight="1">
      <c r="A23" s="150"/>
      <c r="C23" s="327" t="s">
        <v>116</v>
      </c>
      <c r="D23" s="327"/>
    </row>
  </sheetData>
  <sheetProtection/>
  <mergeCells count="12">
    <mergeCell ref="B2:H2"/>
    <mergeCell ref="A3:L3"/>
    <mergeCell ref="B4:F4"/>
    <mergeCell ref="C6:C7"/>
    <mergeCell ref="D6:D7"/>
    <mergeCell ref="A17:B17"/>
    <mergeCell ref="C17:D17"/>
    <mergeCell ref="E17:F17"/>
    <mergeCell ref="C18:D18"/>
    <mergeCell ref="C22:D22"/>
    <mergeCell ref="E22:F22"/>
    <mergeCell ref="C23:D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PAR1206"/>
  <sheetViews>
    <sheetView view="pageBreakPreview" zoomScale="60" zoomScaleNormal="60" zoomScalePageLayoutView="0" workbookViewId="0" topLeftCell="A1">
      <pane xSplit="9" ySplit="5" topLeftCell="J44" activePane="bottomRight" state="frozen"/>
      <selection pane="topLeft" activeCell="A1" sqref="A1"/>
      <selection pane="topRight" activeCell="J1" sqref="J1"/>
      <selection pane="bottomLeft" activeCell="A6" sqref="A6"/>
      <selection pane="bottomRight" activeCell="F58" sqref="F58"/>
    </sheetView>
  </sheetViews>
  <sheetFormatPr defaultColWidth="28.8515625" defaultRowHeight="15"/>
  <cols>
    <col min="1" max="1" width="46.00390625" style="11" customWidth="1"/>
    <col min="2" max="2" width="15.28125" style="11" customWidth="1"/>
    <col min="3" max="3" width="36.57421875" style="11" customWidth="1"/>
    <col min="4" max="4" width="38.28125" style="166" customWidth="1"/>
    <col min="5" max="5" width="28.421875" style="166" customWidth="1"/>
    <col min="6" max="7" width="24.28125" style="166" customWidth="1"/>
    <col min="8" max="8" width="22.421875" style="166" customWidth="1"/>
    <col min="9" max="9" width="22.57421875" style="166" customWidth="1"/>
    <col min="10" max="10" width="19.421875" style="182" customWidth="1"/>
    <col min="11" max="11" width="19.421875" style="183" customWidth="1"/>
    <col min="12" max="12" width="23.8515625" style="183" customWidth="1"/>
    <col min="13" max="13" width="36.421875" style="11" customWidth="1"/>
    <col min="14" max="16384" width="28.8515625" style="11" customWidth="1"/>
  </cols>
  <sheetData>
    <row r="3" spans="1:9" ht="19.5" customHeight="1">
      <c r="A3" s="262" t="s">
        <v>92</v>
      </c>
      <c r="B3" s="262"/>
      <c r="C3" s="262"/>
      <c r="D3" s="262"/>
      <c r="E3" s="262"/>
      <c r="F3" s="262"/>
      <c r="G3" s="262"/>
      <c r="H3" s="262"/>
      <c r="I3" s="262"/>
    </row>
    <row r="4" spans="1:9" ht="18.75">
      <c r="A4" s="253" t="s">
        <v>353</v>
      </c>
      <c r="B4" s="253"/>
      <c r="C4" s="253"/>
      <c r="D4" s="253"/>
      <c r="E4" s="253"/>
      <c r="F4" s="253"/>
      <c r="G4" s="253"/>
      <c r="H4" s="253"/>
      <c r="I4" s="253"/>
    </row>
    <row r="5" ht="15.75" thickBot="1">
      <c r="I5" s="166" t="s">
        <v>93</v>
      </c>
    </row>
    <row r="6" spans="1:9" ht="19.5" customHeight="1" thickBot="1">
      <c r="A6" s="297" t="s">
        <v>40</v>
      </c>
      <c r="B6" s="263" t="s">
        <v>41</v>
      </c>
      <c r="C6" s="263" t="s">
        <v>42</v>
      </c>
      <c r="D6" s="295" t="s">
        <v>43</v>
      </c>
      <c r="E6" s="301"/>
      <c r="F6" s="301"/>
      <c r="G6" s="301"/>
      <c r="H6" s="301"/>
      <c r="I6" s="296"/>
    </row>
    <row r="7" spans="1:9" ht="19.5" thickBot="1">
      <c r="A7" s="298"/>
      <c r="B7" s="300"/>
      <c r="C7" s="300"/>
      <c r="D7" s="282" t="s">
        <v>44</v>
      </c>
      <c r="E7" s="295" t="s">
        <v>22</v>
      </c>
      <c r="F7" s="301"/>
      <c r="G7" s="301"/>
      <c r="H7" s="301"/>
      <c r="I7" s="296"/>
    </row>
    <row r="8" spans="1:9" ht="100.5" customHeight="1" thickBot="1">
      <c r="A8" s="298"/>
      <c r="B8" s="300"/>
      <c r="C8" s="300"/>
      <c r="D8" s="286"/>
      <c r="E8" s="282" t="s">
        <v>45</v>
      </c>
      <c r="F8" s="302" t="s">
        <v>46</v>
      </c>
      <c r="G8" s="282" t="s">
        <v>47</v>
      </c>
      <c r="H8" s="295" t="s">
        <v>48</v>
      </c>
      <c r="I8" s="296"/>
    </row>
    <row r="9" spans="1:9" ht="45" customHeight="1" thickBot="1">
      <c r="A9" s="299"/>
      <c r="B9" s="264"/>
      <c r="C9" s="264"/>
      <c r="D9" s="283"/>
      <c r="E9" s="283"/>
      <c r="F9" s="303"/>
      <c r="G9" s="283"/>
      <c r="H9" s="143" t="s">
        <v>44</v>
      </c>
      <c r="I9" s="143" t="s">
        <v>49</v>
      </c>
    </row>
    <row r="10" spans="1:9" ht="19.5" thickBot="1">
      <c r="A10" s="2">
        <v>1</v>
      </c>
      <c r="B10" s="3">
        <v>2</v>
      </c>
      <c r="C10" s="3">
        <v>3</v>
      </c>
      <c r="D10" s="143">
        <v>4</v>
      </c>
      <c r="E10" s="143">
        <v>5</v>
      </c>
      <c r="F10" s="143">
        <v>6</v>
      </c>
      <c r="G10" s="143">
        <v>7</v>
      </c>
      <c r="H10" s="143">
        <v>8</v>
      </c>
      <c r="I10" s="143">
        <v>9</v>
      </c>
    </row>
    <row r="11" spans="1:13" s="120" customFormat="1" ht="48.75" customHeight="1" thickBot="1">
      <c r="A11" s="38" t="s">
        <v>50</v>
      </c>
      <c r="B11" s="39" t="s">
        <v>197</v>
      </c>
      <c r="C11" s="40" t="s">
        <v>51</v>
      </c>
      <c r="D11" s="177">
        <f>E11+F11+G11+H11</f>
        <v>0</v>
      </c>
      <c r="E11" s="177">
        <v>0</v>
      </c>
      <c r="F11" s="177">
        <v>0</v>
      </c>
      <c r="G11" s="177">
        <v>0</v>
      </c>
      <c r="H11" s="177">
        <v>0</v>
      </c>
      <c r="I11" s="177">
        <v>0</v>
      </c>
      <c r="J11" s="182"/>
      <c r="K11" s="183"/>
      <c r="L11" s="183"/>
      <c r="M11" s="120" t="s">
        <v>203</v>
      </c>
    </row>
    <row r="12" spans="1:13" s="120" customFormat="1" ht="47.25" customHeight="1" thickBot="1">
      <c r="A12" s="38" t="s">
        <v>52</v>
      </c>
      <c r="B12" s="39" t="s">
        <v>198</v>
      </c>
      <c r="C12" s="40" t="s">
        <v>51</v>
      </c>
      <c r="D12" s="177">
        <f>D13+D17+D20+D25+D26</f>
        <v>62135453.56450401</v>
      </c>
      <c r="E12" s="177">
        <f>E17</f>
        <v>50809614.00450401</v>
      </c>
      <c r="F12" s="177">
        <f>F25</f>
        <v>4570160.5600000005</v>
      </c>
      <c r="G12" s="177">
        <f>G25</f>
        <v>0</v>
      </c>
      <c r="H12" s="177">
        <f>H13+H17+H20+H24+H26</f>
        <v>6755679</v>
      </c>
      <c r="I12" s="177">
        <v>0</v>
      </c>
      <c r="J12" s="184">
        <f>48395694-E12</f>
        <v>-2413920.00450401</v>
      </c>
      <c r="K12" s="185">
        <f>1793500-F12</f>
        <v>-2776660.5600000005</v>
      </c>
      <c r="L12" s="186">
        <f>' ПДД 2018'!E165+' ПДД 2018'!E157+' ПДД 2018'!E155+' ПДД 2018'!D148-H12</f>
        <v>0</v>
      </c>
      <c r="M12" s="121"/>
    </row>
    <row r="13" spans="1:13" s="32" customFormat="1" ht="18.75" customHeight="1">
      <c r="A13" s="268" t="s">
        <v>204</v>
      </c>
      <c r="B13" s="291" t="s">
        <v>199</v>
      </c>
      <c r="C13" s="293">
        <v>120</v>
      </c>
      <c r="D13" s="287">
        <f>D15</f>
        <v>0</v>
      </c>
      <c r="E13" s="287" t="s">
        <v>51</v>
      </c>
      <c r="F13" s="287" t="s">
        <v>51</v>
      </c>
      <c r="G13" s="287" t="s">
        <v>51</v>
      </c>
      <c r="H13" s="287">
        <f>H15</f>
        <v>0</v>
      </c>
      <c r="I13" s="287" t="s">
        <v>51</v>
      </c>
      <c r="J13" s="187"/>
      <c r="K13" s="188"/>
      <c r="L13" s="188"/>
      <c r="M13" s="270" t="s">
        <v>205</v>
      </c>
    </row>
    <row r="14" spans="1:13" s="32" customFormat="1" ht="30.75" customHeight="1" thickBot="1">
      <c r="A14" s="269"/>
      <c r="B14" s="292"/>
      <c r="C14" s="294"/>
      <c r="D14" s="288"/>
      <c r="E14" s="288"/>
      <c r="F14" s="288"/>
      <c r="G14" s="288"/>
      <c r="H14" s="288"/>
      <c r="I14" s="288"/>
      <c r="J14" s="187"/>
      <c r="K14" s="188"/>
      <c r="L14" s="188"/>
      <c r="M14" s="270"/>
    </row>
    <row r="15" spans="1:13" ht="18.75" customHeight="1">
      <c r="A15" s="12" t="s">
        <v>4</v>
      </c>
      <c r="B15" s="289" t="s">
        <v>200</v>
      </c>
      <c r="C15" s="263">
        <v>120</v>
      </c>
      <c r="D15" s="278">
        <f>H15</f>
        <v>0</v>
      </c>
      <c r="E15" s="278" t="s">
        <v>51</v>
      </c>
      <c r="F15" s="278" t="s">
        <v>51</v>
      </c>
      <c r="G15" s="278" t="s">
        <v>51</v>
      </c>
      <c r="H15" s="278">
        <v>0</v>
      </c>
      <c r="I15" s="278" t="s">
        <v>51</v>
      </c>
      <c r="M15" s="270"/>
    </row>
    <row r="16" spans="1:13" ht="145.5" customHeight="1" thickBot="1">
      <c r="A16" s="13" t="s">
        <v>53</v>
      </c>
      <c r="B16" s="290"/>
      <c r="C16" s="264"/>
      <c r="D16" s="279"/>
      <c r="E16" s="279"/>
      <c r="F16" s="279"/>
      <c r="G16" s="279"/>
      <c r="H16" s="279"/>
      <c r="I16" s="279"/>
      <c r="M16" s="270"/>
    </row>
    <row r="17" spans="1:14" s="36" customFormat="1" ht="89.25" customHeight="1" thickBot="1">
      <c r="A17" s="33" t="s">
        <v>54</v>
      </c>
      <c r="B17" s="34" t="s">
        <v>201</v>
      </c>
      <c r="C17" s="35">
        <v>130</v>
      </c>
      <c r="D17" s="67">
        <f>D18</f>
        <v>50809614.00450401</v>
      </c>
      <c r="E17" s="67">
        <f>E18</f>
        <v>50809614.00450401</v>
      </c>
      <c r="F17" s="67" t="s">
        <v>51</v>
      </c>
      <c r="G17" s="67" t="s">
        <v>51</v>
      </c>
      <c r="H17" s="67">
        <f>H18</f>
        <v>0</v>
      </c>
      <c r="I17" s="67">
        <f>I18</f>
        <v>0</v>
      </c>
      <c r="J17" s="187"/>
      <c r="K17" s="188"/>
      <c r="L17" s="188"/>
      <c r="M17" s="36" t="s">
        <v>206</v>
      </c>
      <c r="N17" s="37">
        <f>E17-E27</f>
        <v>0</v>
      </c>
    </row>
    <row r="18" spans="1:9" ht="18.75">
      <c r="A18" s="12" t="s">
        <v>55</v>
      </c>
      <c r="B18" s="289" t="s">
        <v>202</v>
      </c>
      <c r="C18" s="263">
        <v>130</v>
      </c>
      <c r="D18" s="278">
        <f>E18+H18</f>
        <v>50809614.00450401</v>
      </c>
      <c r="E18" s="278">
        <f>E27</f>
        <v>50809614.00450401</v>
      </c>
      <c r="F18" s="278" t="s">
        <v>51</v>
      </c>
      <c r="G18" s="278" t="s">
        <v>51</v>
      </c>
      <c r="H18" s="278">
        <v>0</v>
      </c>
      <c r="I18" s="278">
        <v>0</v>
      </c>
    </row>
    <row r="19" spans="1:9" ht="75.75" thickBot="1">
      <c r="A19" s="13" t="s">
        <v>56</v>
      </c>
      <c r="B19" s="290"/>
      <c r="C19" s="264"/>
      <c r="D19" s="279"/>
      <c r="E19" s="279"/>
      <c r="F19" s="279"/>
      <c r="G19" s="279"/>
      <c r="H19" s="279"/>
      <c r="I19" s="279"/>
    </row>
    <row r="20" spans="1:12" s="36" customFormat="1" ht="57" thickBot="1">
      <c r="A20" s="33" t="s">
        <v>57</v>
      </c>
      <c r="B20" s="34" t="s">
        <v>207</v>
      </c>
      <c r="C20" s="35">
        <v>130</v>
      </c>
      <c r="D20" s="67">
        <f>D21+D23+D24</f>
        <v>6755679</v>
      </c>
      <c r="E20" s="67" t="s">
        <v>51</v>
      </c>
      <c r="F20" s="67" t="s">
        <v>51</v>
      </c>
      <c r="G20" s="67" t="s">
        <v>51</v>
      </c>
      <c r="H20" s="67">
        <f>H23+H21</f>
        <v>6755679</v>
      </c>
      <c r="I20" s="67">
        <v>0</v>
      </c>
      <c r="J20" s="187"/>
      <c r="K20" s="188"/>
      <c r="L20" s="188"/>
    </row>
    <row r="21" spans="1:9" ht="18.75">
      <c r="A21" s="12" t="s">
        <v>22</v>
      </c>
      <c r="B21" s="289" t="s">
        <v>208</v>
      </c>
      <c r="C21" s="263">
        <v>130</v>
      </c>
      <c r="D21" s="278">
        <f>H21</f>
        <v>233280</v>
      </c>
      <c r="E21" s="278" t="s">
        <v>51</v>
      </c>
      <c r="F21" s="278" t="s">
        <v>51</v>
      </c>
      <c r="G21" s="278" t="s">
        <v>51</v>
      </c>
      <c r="H21" s="278">
        <f>' ПДД 2018'!D148+' ПДД 2018'!E155+' ПДД 2018'!E157</f>
        <v>233280</v>
      </c>
      <c r="I21" s="278">
        <v>0</v>
      </c>
    </row>
    <row r="22" spans="1:9" ht="38.25" thickBot="1">
      <c r="A22" s="13" t="s">
        <v>58</v>
      </c>
      <c r="B22" s="290"/>
      <c r="C22" s="264"/>
      <c r="D22" s="279"/>
      <c r="E22" s="279"/>
      <c r="F22" s="279"/>
      <c r="G22" s="279"/>
      <c r="H22" s="279"/>
      <c r="I22" s="279"/>
    </row>
    <row r="23" spans="1:9" ht="28.5" customHeight="1" thickBot="1">
      <c r="A23" s="13" t="s">
        <v>59</v>
      </c>
      <c r="B23" s="30" t="s">
        <v>209</v>
      </c>
      <c r="C23" s="3">
        <v>130</v>
      </c>
      <c r="D23" s="51">
        <f>H23</f>
        <v>6522399</v>
      </c>
      <c r="E23" s="51" t="s">
        <v>51</v>
      </c>
      <c r="F23" s="51" t="s">
        <v>51</v>
      </c>
      <c r="G23" s="51" t="s">
        <v>51</v>
      </c>
      <c r="H23" s="51">
        <f>' ПДД 2018'!E165</f>
        <v>6522399</v>
      </c>
      <c r="I23" s="51">
        <v>0</v>
      </c>
    </row>
    <row r="24" spans="1:9" ht="57" thickBot="1">
      <c r="A24" s="13" t="s">
        <v>60</v>
      </c>
      <c r="B24" s="30" t="s">
        <v>210</v>
      </c>
      <c r="C24" s="3">
        <v>140</v>
      </c>
      <c r="D24" s="51">
        <f>H24</f>
        <v>0</v>
      </c>
      <c r="E24" s="51" t="s">
        <v>51</v>
      </c>
      <c r="F24" s="51" t="s">
        <v>51</v>
      </c>
      <c r="G24" s="51" t="s">
        <v>51</v>
      </c>
      <c r="H24" s="51">
        <v>0</v>
      </c>
      <c r="I24" s="51" t="s">
        <v>51</v>
      </c>
    </row>
    <row r="25" spans="1:12" s="36" customFormat="1" ht="57" thickBot="1">
      <c r="A25" s="33" t="s">
        <v>61</v>
      </c>
      <c r="B25" s="34" t="s">
        <v>211</v>
      </c>
      <c r="C25" s="35">
        <v>180</v>
      </c>
      <c r="D25" s="67">
        <f>F25+G25</f>
        <v>4570160.5600000005</v>
      </c>
      <c r="E25" s="67" t="s">
        <v>51</v>
      </c>
      <c r="F25" s="67">
        <f>F27</f>
        <v>4570160.5600000005</v>
      </c>
      <c r="G25" s="67">
        <v>0</v>
      </c>
      <c r="H25" s="67" t="s">
        <v>51</v>
      </c>
      <c r="I25" s="67" t="s">
        <v>51</v>
      </c>
      <c r="J25" s="187"/>
      <c r="K25" s="188"/>
      <c r="L25" s="188"/>
    </row>
    <row r="26" spans="1:12" s="36" customFormat="1" ht="43.5" customHeight="1">
      <c r="A26" s="125" t="s">
        <v>62</v>
      </c>
      <c r="B26" s="126" t="s">
        <v>213</v>
      </c>
      <c r="C26" s="127">
        <v>180</v>
      </c>
      <c r="D26" s="178">
        <f>H26</f>
        <v>0</v>
      </c>
      <c r="E26" s="178" t="s">
        <v>51</v>
      </c>
      <c r="F26" s="178" t="s">
        <v>51</v>
      </c>
      <c r="G26" s="178" t="s">
        <v>51</v>
      </c>
      <c r="H26" s="178">
        <v>0</v>
      </c>
      <c r="I26" s="178">
        <v>0</v>
      </c>
      <c r="J26" s="187"/>
      <c r="K26" s="188"/>
      <c r="L26" s="188"/>
    </row>
    <row r="27" spans="1:13" s="122" customFormat="1" ht="53.25" customHeight="1" thickBot="1">
      <c r="A27" s="128" t="s">
        <v>63</v>
      </c>
      <c r="B27" s="129" t="s">
        <v>214</v>
      </c>
      <c r="C27" s="130" t="s">
        <v>51</v>
      </c>
      <c r="D27" s="179">
        <f>D28+D34+D37+D43+D47</f>
        <v>62135453.56450401</v>
      </c>
      <c r="E27" s="179">
        <f>E28+E34+E37+E43+E47</f>
        <v>50809614.00450401</v>
      </c>
      <c r="F27" s="179">
        <f>F28+F34+F37+F43+F47</f>
        <v>4570160.5600000005</v>
      </c>
      <c r="G27" s="179">
        <f>G28+G34+G37+G43+G47</f>
        <v>0</v>
      </c>
      <c r="H27" s="179">
        <f>H28+H34+H37+H43+H47</f>
        <v>6755679</v>
      </c>
      <c r="I27" s="179"/>
      <c r="J27" s="189">
        <f>48395694-E27</f>
        <v>-2413920.00450401</v>
      </c>
      <c r="K27" s="190">
        <f>1793500-F27</f>
        <v>-2776660.5600000005</v>
      </c>
      <c r="L27" s="191">
        <f>' ПДД 2018'!E165+' ПДД 2018'!E157+' ПДД 2018'!E155+' ПДД 2018'!D148-H27</f>
        <v>0</v>
      </c>
      <c r="M27" s="122" t="s">
        <v>212</v>
      </c>
    </row>
    <row r="28" spans="1:12" s="57" customFormat="1" ht="18.75">
      <c r="A28" s="59" t="s">
        <v>22</v>
      </c>
      <c r="B28" s="291" t="s">
        <v>215</v>
      </c>
      <c r="C28" s="293">
        <v>100</v>
      </c>
      <c r="D28" s="287">
        <f>D30+D32+D33</f>
        <v>44936186.97451401</v>
      </c>
      <c r="E28" s="287">
        <f>E30+E32+E33</f>
        <v>43716886.97451401</v>
      </c>
      <c r="F28" s="287">
        <f>F30+F32+F33</f>
        <v>1219300</v>
      </c>
      <c r="G28" s="287">
        <f>G30+G32+G33</f>
        <v>0</v>
      </c>
      <c r="H28" s="287">
        <f>H30+H32+H33</f>
        <v>0</v>
      </c>
      <c r="I28" s="287"/>
      <c r="J28" s="182"/>
      <c r="K28" s="183"/>
      <c r="L28" s="183"/>
    </row>
    <row r="29" spans="1:13" s="57" customFormat="1" ht="38.25" thickBot="1">
      <c r="A29" s="56" t="s">
        <v>64</v>
      </c>
      <c r="B29" s="292"/>
      <c r="C29" s="294"/>
      <c r="D29" s="288"/>
      <c r="E29" s="288"/>
      <c r="F29" s="288"/>
      <c r="G29" s="288"/>
      <c r="H29" s="288"/>
      <c r="I29" s="288"/>
      <c r="J29" s="182"/>
      <c r="K29" s="183"/>
      <c r="L29" s="183"/>
      <c r="M29" s="60"/>
    </row>
    <row r="30" spans="1:12" s="57" customFormat="1" ht="18.75">
      <c r="A30" s="61" t="s">
        <v>4</v>
      </c>
      <c r="B30" s="280" t="s">
        <v>216</v>
      </c>
      <c r="C30" s="282">
        <v>111</v>
      </c>
      <c r="D30" s="278">
        <f>E30+F30+G30+H30</f>
        <v>33575368.13451401</v>
      </c>
      <c r="E30" s="278">
        <f>' Мун. 2018'!J28</f>
        <v>33575368.13451401</v>
      </c>
      <c r="F30" s="278">
        <v>0</v>
      </c>
      <c r="G30" s="278">
        <v>0</v>
      </c>
      <c r="H30" s="278">
        <v>0</v>
      </c>
      <c r="I30" s="278"/>
      <c r="J30" s="182"/>
      <c r="K30" s="183"/>
      <c r="L30" s="183"/>
    </row>
    <row r="31" spans="1:12" s="57" customFormat="1" ht="19.5" thickBot="1">
      <c r="A31" s="62" t="s">
        <v>65</v>
      </c>
      <c r="B31" s="281"/>
      <c r="C31" s="283"/>
      <c r="D31" s="279"/>
      <c r="E31" s="279"/>
      <c r="F31" s="279"/>
      <c r="G31" s="279"/>
      <c r="H31" s="279"/>
      <c r="I31" s="279"/>
      <c r="J31" s="182"/>
      <c r="K31" s="183"/>
      <c r="L31" s="183"/>
    </row>
    <row r="32" spans="1:12" s="57" customFormat="1" ht="68.25" customHeight="1" thickBot="1">
      <c r="A32" s="49" t="s">
        <v>66</v>
      </c>
      <c r="B32" s="63" t="s">
        <v>217</v>
      </c>
      <c r="C32" s="50">
        <v>112</v>
      </c>
      <c r="D32" s="51">
        <f>E32+F32+G32+H32</f>
        <v>1221460</v>
      </c>
      <c r="E32" s="51">
        <f>' Мун. 2018'!F43</f>
        <v>2160</v>
      </c>
      <c r="F32" s="51">
        <v>1219300</v>
      </c>
      <c r="G32" s="51">
        <v>0</v>
      </c>
      <c r="H32" s="51">
        <v>0</v>
      </c>
      <c r="I32" s="51"/>
      <c r="J32" s="182"/>
      <c r="K32" s="183"/>
      <c r="L32" s="183"/>
    </row>
    <row r="33" spans="1:12" s="57" customFormat="1" ht="117" customHeight="1" thickBot="1">
      <c r="A33" s="49" t="s">
        <v>67</v>
      </c>
      <c r="B33" s="63" t="s">
        <v>218</v>
      </c>
      <c r="C33" s="50">
        <v>119</v>
      </c>
      <c r="D33" s="51">
        <f>E33+F33+G33+H33</f>
        <v>10139358.84</v>
      </c>
      <c r="E33" s="51">
        <f>' Мун. 2018'!D55</f>
        <v>10139358.84</v>
      </c>
      <c r="F33" s="51">
        <v>0</v>
      </c>
      <c r="G33" s="51">
        <v>0</v>
      </c>
      <c r="H33" s="51">
        <v>0</v>
      </c>
      <c r="I33" s="51"/>
      <c r="J33" s="182"/>
      <c r="K33" s="183"/>
      <c r="L33" s="183"/>
    </row>
    <row r="34" spans="1:12" s="57" customFormat="1" ht="47.25" customHeight="1" thickBot="1">
      <c r="A34" s="64" t="s">
        <v>68</v>
      </c>
      <c r="B34" s="65" t="s">
        <v>219</v>
      </c>
      <c r="C34" s="66">
        <v>300</v>
      </c>
      <c r="D34" s="67">
        <f>D35</f>
        <v>0</v>
      </c>
      <c r="E34" s="67">
        <f>E35</f>
        <v>0</v>
      </c>
      <c r="F34" s="67">
        <f>F35</f>
        <v>0</v>
      </c>
      <c r="G34" s="67">
        <f>G35</f>
        <v>0</v>
      </c>
      <c r="H34" s="67">
        <f>H35</f>
        <v>0</v>
      </c>
      <c r="I34" s="67"/>
      <c r="J34" s="182"/>
      <c r="K34" s="183"/>
      <c r="L34" s="183"/>
    </row>
    <row r="35" spans="1:12" s="57" customFormat="1" ht="18.75">
      <c r="A35" s="68" t="s">
        <v>4</v>
      </c>
      <c r="B35" s="280" t="s">
        <v>220</v>
      </c>
      <c r="C35" s="282">
        <v>321</v>
      </c>
      <c r="D35" s="278">
        <f>E35+F35+G35+H35</f>
        <v>0</v>
      </c>
      <c r="E35" s="278">
        <v>0</v>
      </c>
      <c r="F35" s="278">
        <v>0</v>
      </c>
      <c r="G35" s="278">
        <v>0</v>
      </c>
      <c r="H35" s="278">
        <v>0</v>
      </c>
      <c r="I35" s="278"/>
      <c r="J35" s="182"/>
      <c r="K35" s="183"/>
      <c r="L35" s="183"/>
    </row>
    <row r="36" spans="1:12" s="57" customFormat="1" ht="75.75" thickBot="1">
      <c r="A36" s="49" t="s">
        <v>69</v>
      </c>
      <c r="B36" s="281"/>
      <c r="C36" s="283"/>
      <c r="D36" s="279"/>
      <c r="E36" s="279"/>
      <c r="F36" s="279"/>
      <c r="G36" s="279"/>
      <c r="H36" s="279"/>
      <c r="I36" s="279"/>
      <c r="J36" s="182"/>
      <c r="K36" s="183"/>
      <c r="L36" s="183"/>
    </row>
    <row r="37" spans="1:12" s="57" customFormat="1" ht="53.25" customHeight="1" thickBot="1">
      <c r="A37" s="64" t="s">
        <v>70</v>
      </c>
      <c r="B37" s="65" t="s">
        <v>221</v>
      </c>
      <c r="C37" s="66">
        <v>850</v>
      </c>
      <c r="D37" s="67">
        <f>D38+D40+D41+D42</f>
        <v>748521.99999</v>
      </c>
      <c r="E37" s="67">
        <f>E38+E40+E41+E42</f>
        <v>748521.99999</v>
      </c>
      <c r="F37" s="67">
        <f>F38+F40+F41+F42</f>
        <v>0</v>
      </c>
      <c r="G37" s="67">
        <f>G40</f>
        <v>0</v>
      </c>
      <c r="H37" s="67">
        <f>H38+H40+H41+H42</f>
        <v>0</v>
      </c>
      <c r="I37" s="67"/>
      <c r="J37" s="182"/>
      <c r="K37" s="183"/>
      <c r="L37" s="183"/>
    </row>
    <row r="38" spans="1:12" s="57" customFormat="1" ht="18.75">
      <c r="A38" s="68" t="s">
        <v>4</v>
      </c>
      <c r="B38" s="280" t="s">
        <v>222</v>
      </c>
      <c r="C38" s="282">
        <v>851</v>
      </c>
      <c r="D38" s="278">
        <f>E38+F38+H38</f>
        <v>328013.99994</v>
      </c>
      <c r="E38" s="278">
        <f>' Мун. 2018'!E76</f>
        <v>328013.99994</v>
      </c>
      <c r="F38" s="278">
        <v>0</v>
      </c>
      <c r="G38" s="278" t="s">
        <v>51</v>
      </c>
      <c r="H38" s="278">
        <v>0</v>
      </c>
      <c r="I38" s="278"/>
      <c r="J38" s="182"/>
      <c r="K38" s="183"/>
      <c r="L38" s="183"/>
    </row>
    <row r="39" spans="1:12" s="57" customFormat="1" ht="19.5" thickBot="1">
      <c r="A39" s="49" t="s">
        <v>91</v>
      </c>
      <c r="B39" s="281"/>
      <c r="C39" s="283"/>
      <c r="D39" s="279"/>
      <c r="E39" s="279"/>
      <c r="F39" s="279"/>
      <c r="G39" s="279"/>
      <c r="H39" s="279"/>
      <c r="I39" s="279"/>
      <c r="J39" s="182"/>
      <c r="K39" s="183"/>
      <c r="L39" s="183"/>
    </row>
    <row r="40" spans="1:12" s="57" customFormat="1" ht="34.5" customHeight="1" thickBot="1">
      <c r="A40" s="69" t="s">
        <v>71</v>
      </c>
      <c r="B40" s="63" t="s">
        <v>223</v>
      </c>
      <c r="C40" s="50">
        <v>851</v>
      </c>
      <c r="D40" s="51">
        <f>E40+F40+G40+H40</f>
        <v>420508.00005000003</v>
      </c>
      <c r="E40" s="51">
        <f>' Мун. 2018'!E77</f>
        <v>420508.00005000003</v>
      </c>
      <c r="F40" s="51">
        <v>0</v>
      </c>
      <c r="G40" s="51">
        <v>0</v>
      </c>
      <c r="H40" s="51">
        <v>0</v>
      </c>
      <c r="I40" s="51"/>
      <c r="J40" s="182"/>
      <c r="K40" s="183"/>
      <c r="L40" s="183"/>
    </row>
    <row r="41" spans="1:12" s="57" customFormat="1" ht="60" customHeight="1" thickBot="1">
      <c r="A41" s="49" t="s">
        <v>72</v>
      </c>
      <c r="B41" s="63" t="s">
        <v>224</v>
      </c>
      <c r="C41" s="50">
        <v>852</v>
      </c>
      <c r="D41" s="51">
        <f>E41+F41+H41</f>
        <v>0</v>
      </c>
      <c r="E41" s="51">
        <v>0</v>
      </c>
      <c r="F41" s="51">
        <v>0</v>
      </c>
      <c r="G41" s="51" t="s">
        <v>51</v>
      </c>
      <c r="H41" s="51">
        <v>0</v>
      </c>
      <c r="I41" s="51"/>
      <c r="J41" s="182"/>
      <c r="K41" s="183"/>
      <c r="L41" s="183"/>
    </row>
    <row r="42" spans="1:12" s="57" customFormat="1" ht="51.75" customHeight="1" thickBot="1">
      <c r="A42" s="49" t="s">
        <v>73</v>
      </c>
      <c r="B42" s="63" t="s">
        <v>225</v>
      </c>
      <c r="C42" s="50">
        <v>853</v>
      </c>
      <c r="D42" s="51">
        <f>E42+F42+H42</f>
        <v>0</v>
      </c>
      <c r="E42" s="51">
        <v>0</v>
      </c>
      <c r="F42" s="51">
        <v>0</v>
      </c>
      <c r="G42" s="51" t="s">
        <v>51</v>
      </c>
      <c r="H42" s="51">
        <v>0</v>
      </c>
      <c r="I42" s="51"/>
      <c r="J42" s="182"/>
      <c r="K42" s="183"/>
      <c r="L42" s="183"/>
    </row>
    <row r="43" spans="1:12" s="32" customFormat="1" ht="57" thickBot="1">
      <c r="A43" s="64" t="s">
        <v>74</v>
      </c>
      <c r="B43" s="65" t="s">
        <v>226</v>
      </c>
      <c r="C43" s="66">
        <v>400</v>
      </c>
      <c r="D43" s="67">
        <f>D44+D46</f>
        <v>0</v>
      </c>
      <c r="E43" s="67">
        <f>E44+E46</f>
        <v>0</v>
      </c>
      <c r="F43" s="67">
        <f>F44+F46</f>
        <v>0</v>
      </c>
      <c r="G43" s="67">
        <f>G44+G46</f>
        <v>0</v>
      </c>
      <c r="H43" s="67">
        <f>H44+H46</f>
        <v>0</v>
      </c>
      <c r="I43" s="67"/>
      <c r="J43" s="187"/>
      <c r="K43" s="188"/>
      <c r="L43" s="188"/>
    </row>
    <row r="44" spans="1:12" s="57" customFormat="1" ht="18.75">
      <c r="A44" s="61" t="s">
        <v>4</v>
      </c>
      <c r="B44" s="280" t="s">
        <v>227</v>
      </c>
      <c r="C44" s="282">
        <v>416</v>
      </c>
      <c r="D44" s="278">
        <f>E44+F44+G44+H44</f>
        <v>0</v>
      </c>
      <c r="E44" s="278">
        <v>0</v>
      </c>
      <c r="F44" s="278">
        <v>0</v>
      </c>
      <c r="G44" s="278">
        <v>0</v>
      </c>
      <c r="H44" s="278">
        <v>0</v>
      </c>
      <c r="I44" s="278"/>
      <c r="J44" s="182"/>
      <c r="K44" s="183"/>
      <c r="L44" s="183"/>
    </row>
    <row r="45" spans="1:12" s="57" customFormat="1" ht="93.75">
      <c r="A45" s="131" t="s">
        <v>75</v>
      </c>
      <c r="B45" s="285"/>
      <c r="C45" s="286"/>
      <c r="D45" s="284"/>
      <c r="E45" s="284"/>
      <c r="F45" s="284"/>
      <c r="G45" s="284"/>
      <c r="H45" s="284"/>
      <c r="I45" s="284"/>
      <c r="J45" s="182"/>
      <c r="K45" s="183"/>
      <c r="L45" s="183"/>
    </row>
    <row r="46" spans="1:12" s="57" customFormat="1" ht="93.75">
      <c r="A46" s="132" t="s">
        <v>76</v>
      </c>
      <c r="B46" s="133" t="s">
        <v>228</v>
      </c>
      <c r="C46" s="134">
        <v>417</v>
      </c>
      <c r="D46" s="135">
        <f>E46+F46+G46+H46</f>
        <v>0</v>
      </c>
      <c r="E46" s="135">
        <v>0</v>
      </c>
      <c r="F46" s="135">
        <v>0</v>
      </c>
      <c r="G46" s="135">
        <v>0</v>
      </c>
      <c r="H46" s="135">
        <v>0</v>
      </c>
      <c r="I46" s="135"/>
      <c r="J46" s="182"/>
      <c r="K46" s="183"/>
      <c r="L46" s="183"/>
    </row>
    <row r="47" spans="1:14" s="32" customFormat="1" ht="58.5" customHeight="1" thickBot="1">
      <c r="A47" s="136" t="s">
        <v>77</v>
      </c>
      <c r="B47" s="137" t="s">
        <v>229</v>
      </c>
      <c r="C47" s="138">
        <v>200</v>
      </c>
      <c r="D47" s="139">
        <f>D48+D50</f>
        <v>16450744.59</v>
      </c>
      <c r="E47" s="139">
        <f>E48+E50</f>
        <v>6344205.03</v>
      </c>
      <c r="F47" s="139">
        <f>F48+F50</f>
        <v>3350860.56</v>
      </c>
      <c r="G47" s="139">
        <f>G48+G50</f>
        <v>0</v>
      </c>
      <c r="H47" s="139">
        <f>H48+H50</f>
        <v>6755679</v>
      </c>
      <c r="I47" s="139"/>
      <c r="J47" s="187"/>
      <c r="K47" s="188"/>
      <c r="L47" s="188"/>
      <c r="M47" s="32" t="s">
        <v>244</v>
      </c>
      <c r="N47" s="70"/>
    </row>
    <row r="48" spans="1:14" s="57" customFormat="1" ht="18.75">
      <c r="A48" s="61" t="s">
        <v>4</v>
      </c>
      <c r="B48" s="280" t="s">
        <v>230</v>
      </c>
      <c r="C48" s="282">
        <v>243</v>
      </c>
      <c r="D48" s="278">
        <f>E48+F48+G48+H48</f>
        <v>0</v>
      </c>
      <c r="E48" s="278">
        <v>0</v>
      </c>
      <c r="F48" s="278">
        <v>0</v>
      </c>
      <c r="G48" s="278">
        <v>0</v>
      </c>
      <c r="H48" s="278">
        <v>0</v>
      </c>
      <c r="I48" s="278"/>
      <c r="J48" s="182"/>
      <c r="K48" s="183"/>
      <c r="L48" s="183"/>
      <c r="N48" s="60"/>
    </row>
    <row r="49" spans="1:12" s="57" customFormat="1" ht="57" thickBot="1">
      <c r="A49" s="62" t="s">
        <v>78</v>
      </c>
      <c r="B49" s="281"/>
      <c r="C49" s="283"/>
      <c r="D49" s="279"/>
      <c r="E49" s="279"/>
      <c r="F49" s="279"/>
      <c r="G49" s="279"/>
      <c r="H49" s="279"/>
      <c r="I49" s="279"/>
      <c r="J49" s="182"/>
      <c r="K49" s="183"/>
      <c r="L49" s="183"/>
    </row>
    <row r="50" spans="1:12" s="57" customFormat="1" ht="57" thickBot="1">
      <c r="A50" s="62" t="s">
        <v>79</v>
      </c>
      <c r="B50" s="63" t="s">
        <v>231</v>
      </c>
      <c r="C50" s="50">
        <v>244</v>
      </c>
      <c r="D50" s="51">
        <f>D51+D53+D54+D55+D56+D57+D58+D59</f>
        <v>16450744.59</v>
      </c>
      <c r="E50" s="51">
        <f>E51+E53+E54+E55+E56+E57+E58+E59</f>
        <v>6344205.03</v>
      </c>
      <c r="F50" s="51">
        <f>F51+F53+F54+F55+F56+F57+F58+F59</f>
        <v>3350860.56</v>
      </c>
      <c r="G50" s="51">
        <f>G53+G54+G56+G57+G58+G59</f>
        <v>0</v>
      </c>
      <c r="H50" s="51">
        <f>H51+H53+H54+H55+H56+H57+H58+H59</f>
        <v>6755679</v>
      </c>
      <c r="I50" s="51"/>
      <c r="J50" s="182"/>
      <c r="K50" s="183"/>
      <c r="L50" s="183"/>
    </row>
    <row r="51" spans="1:12" s="57" customFormat="1" ht="18.75">
      <c r="A51" s="71" t="s">
        <v>4</v>
      </c>
      <c r="B51" s="280" t="s">
        <v>232</v>
      </c>
      <c r="C51" s="282">
        <v>244</v>
      </c>
      <c r="D51" s="278">
        <f>E51+F51+H51</f>
        <v>24000</v>
      </c>
      <c r="E51" s="278">
        <f>' Мун. 2018'!F90</f>
        <v>24000</v>
      </c>
      <c r="F51" s="278">
        <v>0</v>
      </c>
      <c r="G51" s="278" t="s">
        <v>51</v>
      </c>
      <c r="H51" s="278">
        <v>0</v>
      </c>
      <c r="I51" s="278"/>
      <c r="J51" s="182"/>
      <c r="K51" s="183"/>
      <c r="L51" s="183"/>
    </row>
    <row r="52" spans="1:12" s="57" customFormat="1" ht="32.25" customHeight="1" thickBot="1">
      <c r="A52" s="72" t="s">
        <v>80</v>
      </c>
      <c r="B52" s="281"/>
      <c r="C52" s="283"/>
      <c r="D52" s="279"/>
      <c r="E52" s="279"/>
      <c r="F52" s="279"/>
      <c r="G52" s="279"/>
      <c r="H52" s="279"/>
      <c r="I52" s="279"/>
      <c r="J52" s="182"/>
      <c r="K52" s="183"/>
      <c r="L52" s="183"/>
    </row>
    <row r="53" spans="1:12" s="57" customFormat="1" ht="33" customHeight="1" thickBot="1">
      <c r="A53" s="72" t="s">
        <v>81</v>
      </c>
      <c r="B53" s="63" t="s">
        <v>233</v>
      </c>
      <c r="C53" s="50">
        <v>244</v>
      </c>
      <c r="D53" s="51">
        <f>E53+F53+G53+H53</f>
        <v>38000</v>
      </c>
      <c r="E53" s="51">
        <f>' Мун. 2018'!E97</f>
        <v>38000</v>
      </c>
      <c r="F53" s="51">
        <v>0</v>
      </c>
      <c r="G53" s="51">
        <v>0</v>
      </c>
      <c r="H53" s="51">
        <v>0</v>
      </c>
      <c r="I53" s="51"/>
      <c r="J53" s="182"/>
      <c r="K53" s="183"/>
      <c r="L53" s="183"/>
    </row>
    <row r="54" spans="1:12" s="57" customFormat="1" ht="32.25" customHeight="1" thickBot="1">
      <c r="A54" s="72" t="s">
        <v>82</v>
      </c>
      <c r="B54" s="63" t="s">
        <v>233</v>
      </c>
      <c r="C54" s="50">
        <v>244</v>
      </c>
      <c r="D54" s="51">
        <f>E54+F54+G54+H54</f>
        <v>3261095.96</v>
      </c>
      <c r="E54" s="51">
        <f>' Мун. 2018'!G109</f>
        <v>3261095.96</v>
      </c>
      <c r="F54" s="51">
        <v>0</v>
      </c>
      <c r="G54" s="51">
        <v>0</v>
      </c>
      <c r="H54" s="51">
        <v>0</v>
      </c>
      <c r="I54" s="51"/>
      <c r="J54" s="182"/>
      <c r="K54" s="183"/>
      <c r="L54" s="183"/>
    </row>
    <row r="55" spans="1:12" s="57" customFormat="1" ht="51.75" customHeight="1" thickBot="1">
      <c r="A55" s="72" t="s">
        <v>83</v>
      </c>
      <c r="B55" s="63" t="s">
        <v>234</v>
      </c>
      <c r="C55" s="50">
        <v>244</v>
      </c>
      <c r="D55" s="51">
        <f>E55+F55+H55</f>
        <v>0</v>
      </c>
      <c r="E55" s="51">
        <v>0</v>
      </c>
      <c r="F55" s="51">
        <v>0</v>
      </c>
      <c r="G55" s="51" t="s">
        <v>51</v>
      </c>
      <c r="H55" s="51">
        <v>0</v>
      </c>
      <c r="I55" s="51"/>
      <c r="J55" s="182"/>
      <c r="K55" s="183"/>
      <c r="L55" s="183"/>
    </row>
    <row r="56" spans="1:12" s="57" customFormat="1" ht="48" customHeight="1" thickBot="1">
      <c r="A56" s="72" t="s">
        <v>84</v>
      </c>
      <c r="B56" s="63" t="s">
        <v>235</v>
      </c>
      <c r="C56" s="50">
        <v>244</v>
      </c>
      <c r="D56" s="51">
        <f aca="true" t="shared" si="0" ref="D56:D61">E56+F56+G56+H56</f>
        <v>3925182.8</v>
      </c>
      <c r="E56" s="51">
        <f>' Мун. 2018'!E137</f>
        <v>1297822.24</v>
      </c>
      <c r="F56" s="51">
        <v>2627360.56</v>
      </c>
      <c r="G56" s="51">
        <v>0</v>
      </c>
      <c r="H56" s="51">
        <v>0</v>
      </c>
      <c r="I56" s="51"/>
      <c r="J56" s="182"/>
      <c r="K56" s="183"/>
      <c r="L56" s="183"/>
    </row>
    <row r="57" spans="1:12" s="57" customFormat="1" ht="34.5" customHeight="1" thickBot="1">
      <c r="A57" s="72" t="s">
        <v>85</v>
      </c>
      <c r="B57" s="63" t="s">
        <v>236</v>
      </c>
      <c r="C57" s="50">
        <v>244</v>
      </c>
      <c r="D57" s="51">
        <f t="shared" si="0"/>
        <v>1082968</v>
      </c>
      <c r="E57" s="51">
        <f>' Мун. 2018'!D151</f>
        <v>643000</v>
      </c>
      <c r="F57" s="51">
        <v>300000</v>
      </c>
      <c r="G57" s="51">
        <v>0</v>
      </c>
      <c r="H57" s="51">
        <f>' ПДД 2018'!D141</f>
        <v>139968</v>
      </c>
      <c r="I57" s="51"/>
      <c r="J57" s="182"/>
      <c r="K57" s="183"/>
      <c r="L57" s="183"/>
    </row>
    <row r="58" spans="1:12" s="57" customFormat="1" ht="51" customHeight="1" thickBot="1">
      <c r="A58" s="72" t="s">
        <v>86</v>
      </c>
      <c r="B58" s="63" t="s">
        <v>237</v>
      </c>
      <c r="C58" s="50">
        <v>244</v>
      </c>
      <c r="D58" s="51">
        <f t="shared" si="0"/>
        <v>473500</v>
      </c>
      <c r="E58" s="51">
        <f>' Мун. 2018'!E159</f>
        <v>0</v>
      </c>
      <c r="F58" s="51">
        <f>57500+366000</f>
        <v>423500</v>
      </c>
      <c r="G58" s="51">
        <v>0</v>
      </c>
      <c r="H58" s="51">
        <f>' ПДД 2018'!E154</f>
        <v>50000</v>
      </c>
      <c r="I58" s="51"/>
      <c r="J58" s="182"/>
      <c r="K58" s="183"/>
      <c r="L58" s="183"/>
    </row>
    <row r="59" spans="1:12" s="57" customFormat="1" ht="49.5" customHeight="1" thickBot="1">
      <c r="A59" s="72" t="s">
        <v>87</v>
      </c>
      <c r="B59" s="63" t="s">
        <v>238</v>
      </c>
      <c r="C59" s="50">
        <v>244</v>
      </c>
      <c r="D59" s="51">
        <f t="shared" si="0"/>
        <v>7645997.83</v>
      </c>
      <c r="E59" s="51">
        <f>' Мун. 2018'!E163</f>
        <v>1080286.83</v>
      </c>
      <c r="F59" s="51">
        <v>0</v>
      </c>
      <c r="G59" s="51">
        <v>0</v>
      </c>
      <c r="H59" s="51">
        <f>' ПДД 2018'!E165+' ПДД 2018'!E156</f>
        <v>6565711</v>
      </c>
      <c r="I59" s="51"/>
      <c r="J59" s="182"/>
      <c r="K59" s="183"/>
      <c r="L59" s="183"/>
    </row>
    <row r="60" spans="1:9" ht="38.25" thickBot="1">
      <c r="A60" s="31" t="s">
        <v>88</v>
      </c>
      <c r="B60" s="30" t="s">
        <v>239</v>
      </c>
      <c r="C60" s="3">
        <v>500</v>
      </c>
      <c r="D60" s="51">
        <f t="shared" si="0"/>
        <v>62135453.56450401</v>
      </c>
      <c r="E60" s="51">
        <f>E12</f>
        <v>50809614.00450401</v>
      </c>
      <c r="F60" s="51">
        <f>F12</f>
        <v>4570160.5600000005</v>
      </c>
      <c r="G60" s="51">
        <f>G12</f>
        <v>0</v>
      </c>
      <c r="H60" s="51">
        <f>H12</f>
        <v>6755679</v>
      </c>
      <c r="I60" s="51"/>
    </row>
    <row r="61" spans="1:9" ht="38.25" thickBot="1">
      <c r="A61" s="31" t="s">
        <v>89</v>
      </c>
      <c r="B61" s="30" t="s">
        <v>240</v>
      </c>
      <c r="C61" s="3">
        <v>600</v>
      </c>
      <c r="D61" s="51">
        <f t="shared" si="0"/>
        <v>62135453.56450401</v>
      </c>
      <c r="E61" s="51">
        <f>E27</f>
        <v>50809614.00450401</v>
      </c>
      <c r="F61" s="51">
        <f>F27</f>
        <v>4570160.5600000005</v>
      </c>
      <c r="G61" s="51">
        <f>G27</f>
        <v>0</v>
      </c>
      <c r="H61" s="51">
        <f>H27</f>
        <v>6755679</v>
      </c>
      <c r="I61" s="51"/>
    </row>
    <row r="62" spans="1:9" ht="33" customHeight="1" thickBot="1">
      <c r="A62" s="31" t="s">
        <v>90</v>
      </c>
      <c r="B62" s="30" t="s">
        <v>241</v>
      </c>
      <c r="C62" s="3">
        <v>600</v>
      </c>
      <c r="D62" s="51">
        <f>E62+H62</f>
        <v>0</v>
      </c>
      <c r="E62" s="51">
        <v>0</v>
      </c>
      <c r="F62" s="51">
        <v>0</v>
      </c>
      <c r="G62" s="51">
        <v>0</v>
      </c>
      <c r="H62" s="51">
        <v>0</v>
      </c>
      <c r="I62" s="51"/>
    </row>
    <row r="63" spans="5:8" ht="15">
      <c r="E63" s="60"/>
      <c r="F63" s="60"/>
      <c r="G63" s="60"/>
      <c r="H63" s="60"/>
    </row>
    <row r="64" spans="1:12" ht="15">
      <c r="A64" s="152"/>
      <c r="B64" s="152"/>
      <c r="C64" s="152"/>
      <c r="D64" s="163"/>
      <c r="E64" s="180"/>
      <c r="F64" s="180"/>
      <c r="G64" s="180"/>
      <c r="H64" s="180"/>
      <c r="I64" s="163"/>
      <c r="J64" s="192"/>
      <c r="K64" s="193"/>
      <c r="L64" s="193"/>
    </row>
    <row r="65" spans="1:12" s="104" customFormat="1" ht="35.25" customHeight="1">
      <c r="A65" s="265"/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</row>
    <row r="66" spans="1:12" s="104" customFormat="1" ht="18.75">
      <c r="A66" s="265"/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</row>
    <row r="67" spans="1:12" s="104" customFormat="1" ht="15">
      <c r="A67" s="153"/>
      <c r="B67" s="153"/>
      <c r="C67" s="153"/>
      <c r="D67" s="163"/>
      <c r="E67" s="163"/>
      <c r="F67" s="163"/>
      <c r="G67" s="163"/>
      <c r="H67" s="163"/>
      <c r="I67" s="163"/>
      <c r="J67" s="192"/>
      <c r="K67" s="193"/>
      <c r="L67" s="193"/>
    </row>
    <row r="68" spans="1:12" s="104" customFormat="1" ht="18.75">
      <c r="A68" s="267"/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</row>
    <row r="69" spans="1:12" s="104" customFormat="1" ht="18.75">
      <c r="A69" s="267"/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</row>
    <row r="70" spans="1:12" s="104" customFormat="1" ht="65.25" customHeight="1">
      <c r="A70" s="267"/>
      <c r="B70" s="267"/>
      <c r="C70" s="267"/>
      <c r="D70" s="267"/>
      <c r="E70" s="267"/>
      <c r="F70" s="267"/>
      <c r="G70" s="272"/>
      <c r="H70" s="272"/>
      <c r="I70" s="272"/>
      <c r="J70" s="273"/>
      <c r="K70" s="273"/>
      <c r="L70" s="273"/>
    </row>
    <row r="71" spans="1:12" s="104" customFormat="1" ht="71.25" customHeight="1">
      <c r="A71" s="267"/>
      <c r="B71" s="267"/>
      <c r="C71" s="267"/>
      <c r="D71" s="154"/>
      <c r="E71" s="154"/>
      <c r="F71" s="154"/>
      <c r="G71" s="154"/>
      <c r="H71" s="154"/>
      <c r="I71" s="154"/>
      <c r="J71" s="194"/>
      <c r="K71" s="195"/>
      <c r="L71" s="195"/>
    </row>
    <row r="72" spans="1:12" s="104" customFormat="1" ht="18.75">
      <c r="A72" s="155"/>
      <c r="B72" s="155"/>
      <c r="C72" s="155"/>
      <c r="D72" s="164"/>
      <c r="E72" s="164"/>
      <c r="F72" s="164"/>
      <c r="G72" s="164"/>
      <c r="H72" s="164"/>
      <c r="I72" s="164"/>
      <c r="J72" s="196"/>
      <c r="K72" s="197"/>
      <c r="L72" s="197"/>
    </row>
    <row r="73" spans="1:13" s="104" customFormat="1" ht="18.75">
      <c r="A73" s="52"/>
      <c r="B73" s="156"/>
      <c r="C73" s="155"/>
      <c r="D73" s="157"/>
      <c r="E73" s="157"/>
      <c r="F73" s="157"/>
      <c r="G73" s="157"/>
      <c r="H73" s="157"/>
      <c r="I73" s="157"/>
      <c r="J73" s="198"/>
      <c r="K73" s="199"/>
      <c r="L73" s="199"/>
      <c r="M73" s="104" t="s">
        <v>243</v>
      </c>
    </row>
    <row r="74" spans="1:12" s="104" customFormat="1" ht="81.75" customHeight="1">
      <c r="A74" s="52"/>
      <c r="B74" s="155"/>
      <c r="C74" s="155"/>
      <c r="D74" s="157"/>
      <c r="E74" s="157"/>
      <c r="F74" s="157"/>
      <c r="G74" s="157"/>
      <c r="H74" s="157"/>
      <c r="I74" s="157"/>
      <c r="J74" s="198"/>
      <c r="K74" s="199"/>
      <c r="L74" s="199"/>
    </row>
    <row r="75" spans="1:12" s="104" customFormat="1" ht="61.5" customHeight="1">
      <c r="A75" s="52"/>
      <c r="B75" s="155"/>
      <c r="C75" s="52"/>
      <c r="D75" s="157"/>
      <c r="E75" s="157"/>
      <c r="F75" s="157"/>
      <c r="G75" s="157"/>
      <c r="H75" s="157"/>
      <c r="I75" s="157"/>
      <c r="J75" s="198"/>
      <c r="K75" s="199"/>
      <c r="L75" s="199"/>
    </row>
    <row r="76" spans="1:12" s="104" customFormat="1" ht="15">
      <c r="A76" s="153"/>
      <c r="B76" s="153"/>
      <c r="C76" s="153"/>
      <c r="D76" s="163"/>
      <c r="E76" s="163"/>
      <c r="F76" s="163"/>
      <c r="G76" s="163"/>
      <c r="H76" s="163"/>
      <c r="I76" s="163"/>
      <c r="J76" s="192"/>
      <c r="K76" s="193"/>
      <c r="L76" s="193"/>
    </row>
    <row r="77" spans="1:12" s="104" customFormat="1" ht="15">
      <c r="A77" s="153"/>
      <c r="B77" s="153"/>
      <c r="C77" s="153"/>
      <c r="D77" s="163"/>
      <c r="E77" s="163"/>
      <c r="F77" s="163"/>
      <c r="G77" s="163"/>
      <c r="H77" s="163"/>
      <c r="I77" s="163"/>
      <c r="J77" s="192"/>
      <c r="K77" s="193"/>
      <c r="L77" s="193"/>
    </row>
    <row r="78" spans="1:12" s="104" customFormat="1" ht="45" customHeight="1">
      <c r="A78" s="153"/>
      <c r="B78" s="265"/>
      <c r="C78" s="265"/>
      <c r="D78" s="265"/>
      <c r="E78" s="265"/>
      <c r="F78" s="265"/>
      <c r="G78" s="163"/>
      <c r="H78" s="163"/>
      <c r="I78" s="163"/>
      <c r="J78" s="192"/>
      <c r="K78" s="193"/>
      <c r="L78" s="193"/>
    </row>
    <row r="79" spans="1:12" s="104" customFormat="1" ht="18.75" customHeight="1">
      <c r="A79" s="153"/>
      <c r="B79" s="265"/>
      <c r="C79" s="265"/>
      <c r="D79" s="265"/>
      <c r="E79" s="265"/>
      <c r="F79" s="265"/>
      <c r="G79" s="163"/>
      <c r="H79" s="163"/>
      <c r="I79" s="163"/>
      <c r="J79" s="192"/>
      <c r="K79" s="193"/>
      <c r="L79" s="193"/>
    </row>
    <row r="80" spans="1:12" s="104" customFormat="1" ht="15">
      <c r="A80" s="153"/>
      <c r="B80" s="266"/>
      <c r="C80" s="266"/>
      <c r="D80" s="266"/>
      <c r="E80" s="266"/>
      <c r="F80" s="266"/>
      <c r="G80" s="163"/>
      <c r="H80" s="163"/>
      <c r="I80" s="163"/>
      <c r="J80" s="192"/>
      <c r="K80" s="193"/>
      <c r="L80" s="193"/>
    </row>
    <row r="81" spans="1:12" s="104" customFormat="1" ht="18.75">
      <c r="A81" s="153"/>
      <c r="B81" s="155"/>
      <c r="C81" s="155"/>
      <c r="D81" s="164"/>
      <c r="E81" s="163"/>
      <c r="F81" s="164"/>
      <c r="G81" s="163"/>
      <c r="H81" s="163"/>
      <c r="I81" s="163"/>
      <c r="J81" s="192"/>
      <c r="K81" s="193"/>
      <c r="L81" s="193"/>
    </row>
    <row r="82" spans="1:12" s="104" customFormat="1" ht="18.75">
      <c r="A82" s="153"/>
      <c r="B82" s="153"/>
      <c r="C82" s="267"/>
      <c r="D82" s="267"/>
      <c r="E82" s="164"/>
      <c r="F82" s="163"/>
      <c r="G82" s="163"/>
      <c r="H82" s="163"/>
      <c r="I82" s="163"/>
      <c r="J82" s="192"/>
      <c r="K82" s="193"/>
      <c r="L82" s="193"/>
    </row>
    <row r="83" spans="1:12" s="104" customFormat="1" ht="18.75">
      <c r="A83" s="153"/>
      <c r="B83" s="153"/>
      <c r="C83" s="267"/>
      <c r="D83" s="267"/>
      <c r="E83" s="164"/>
      <c r="F83" s="163"/>
      <c r="G83" s="163"/>
      <c r="H83" s="163"/>
      <c r="I83" s="163"/>
      <c r="J83" s="192"/>
      <c r="K83" s="193"/>
      <c r="L83" s="193"/>
    </row>
    <row r="84" spans="1:12" s="104" customFormat="1" ht="18.75">
      <c r="A84" s="153"/>
      <c r="B84" s="153"/>
      <c r="C84" s="155"/>
      <c r="D84" s="164"/>
      <c r="E84" s="164"/>
      <c r="F84" s="163"/>
      <c r="G84" s="163"/>
      <c r="H84" s="163"/>
      <c r="I84" s="163"/>
      <c r="J84" s="192"/>
      <c r="K84" s="193"/>
      <c r="L84" s="193"/>
    </row>
    <row r="85" spans="1:12" s="104" customFormat="1" ht="18.75">
      <c r="A85" s="153"/>
      <c r="B85" s="153"/>
      <c r="C85" s="52"/>
      <c r="D85" s="156"/>
      <c r="E85" s="181"/>
      <c r="F85" s="163"/>
      <c r="G85" s="163"/>
      <c r="H85" s="163"/>
      <c r="I85" s="163"/>
      <c r="J85" s="192"/>
      <c r="K85" s="193"/>
      <c r="L85" s="193"/>
    </row>
    <row r="86" spans="1:12" s="104" customFormat="1" ht="18.75">
      <c r="A86" s="153"/>
      <c r="B86" s="153"/>
      <c r="C86" s="52"/>
      <c r="D86" s="156"/>
      <c r="E86" s="52"/>
      <c r="F86" s="163"/>
      <c r="G86" s="163"/>
      <c r="H86" s="163"/>
      <c r="I86" s="163"/>
      <c r="J86" s="192"/>
      <c r="K86" s="193"/>
      <c r="L86" s="193"/>
    </row>
    <row r="87" spans="1:12" s="104" customFormat="1" ht="18.75">
      <c r="A87" s="153"/>
      <c r="B87" s="153"/>
      <c r="C87" s="52"/>
      <c r="D87" s="156"/>
      <c r="E87" s="52"/>
      <c r="F87" s="163"/>
      <c r="G87" s="163"/>
      <c r="H87" s="163"/>
      <c r="I87" s="163"/>
      <c r="J87" s="192"/>
      <c r="K87" s="193"/>
      <c r="L87" s="193"/>
    </row>
    <row r="88" spans="1:12" s="104" customFormat="1" ht="18.75">
      <c r="A88" s="153"/>
      <c r="B88" s="153"/>
      <c r="C88" s="52"/>
      <c r="D88" s="158"/>
      <c r="E88" s="52"/>
      <c r="F88" s="163"/>
      <c r="G88" s="163"/>
      <c r="H88" s="163"/>
      <c r="I88" s="163"/>
      <c r="J88" s="192"/>
      <c r="K88" s="193"/>
      <c r="L88" s="193"/>
    </row>
    <row r="89" spans="1:12" s="104" customFormat="1" ht="18.75">
      <c r="A89" s="153"/>
      <c r="B89" s="153"/>
      <c r="C89" s="52"/>
      <c r="D89" s="156"/>
      <c r="E89" s="52"/>
      <c r="F89" s="163"/>
      <c r="G89" s="163"/>
      <c r="H89" s="163"/>
      <c r="I89" s="163"/>
      <c r="J89" s="192"/>
      <c r="K89" s="193"/>
      <c r="L89" s="193"/>
    </row>
    <row r="90" spans="1:12" s="104" customFormat="1" ht="18.75">
      <c r="A90" s="153"/>
      <c r="B90" s="153"/>
      <c r="C90" s="52"/>
      <c r="D90" s="52"/>
      <c r="E90" s="52"/>
      <c r="F90" s="163"/>
      <c r="G90" s="163"/>
      <c r="H90" s="163"/>
      <c r="I90" s="163"/>
      <c r="J90" s="192"/>
      <c r="K90" s="193"/>
      <c r="L90" s="193"/>
    </row>
    <row r="91" spans="1:12" s="104" customFormat="1" ht="15">
      <c r="A91" s="153"/>
      <c r="B91" s="153"/>
      <c r="C91" s="153"/>
      <c r="D91" s="163"/>
      <c r="E91" s="163"/>
      <c r="F91" s="163"/>
      <c r="G91" s="163"/>
      <c r="H91" s="163"/>
      <c r="I91" s="163"/>
      <c r="J91" s="192"/>
      <c r="K91" s="193"/>
      <c r="L91" s="193"/>
    </row>
    <row r="92" spans="1:12" s="104" customFormat="1" ht="18.75">
      <c r="A92" s="159"/>
      <c r="B92" s="153"/>
      <c r="C92" s="153"/>
      <c r="D92" s="163"/>
      <c r="E92" s="163"/>
      <c r="F92" s="163"/>
      <c r="G92" s="163"/>
      <c r="H92" s="163"/>
      <c r="I92" s="163"/>
      <c r="J92" s="192"/>
      <c r="K92" s="193"/>
      <c r="L92" s="193"/>
    </row>
    <row r="93" spans="1:12" s="104" customFormat="1" ht="83.25" customHeight="1">
      <c r="A93" s="275"/>
      <c r="B93" s="275"/>
      <c r="C93" s="277"/>
      <c r="D93" s="277"/>
      <c r="E93" s="276"/>
      <c r="F93" s="276"/>
      <c r="G93" s="163"/>
      <c r="H93" s="163"/>
      <c r="I93" s="163"/>
      <c r="J93" s="192"/>
      <c r="K93" s="193"/>
      <c r="L93" s="193"/>
    </row>
    <row r="94" spans="1:12" s="104" customFormat="1" ht="26.25" customHeight="1">
      <c r="A94" s="159"/>
      <c r="B94" s="153"/>
      <c r="C94" s="271"/>
      <c r="D94" s="271"/>
      <c r="E94" s="163"/>
      <c r="F94" s="163"/>
      <c r="G94" s="163"/>
      <c r="H94" s="163"/>
      <c r="I94" s="163"/>
      <c r="J94" s="192"/>
      <c r="K94" s="193"/>
      <c r="L94" s="193"/>
    </row>
    <row r="95" spans="1:12" s="104" customFormat="1" ht="18.75">
      <c r="A95" s="159"/>
      <c r="B95" s="153"/>
      <c r="C95" s="153"/>
      <c r="D95" s="160"/>
      <c r="E95" s="163"/>
      <c r="F95" s="163"/>
      <c r="G95" s="163"/>
      <c r="H95" s="163"/>
      <c r="I95" s="163"/>
      <c r="J95" s="192"/>
      <c r="K95" s="193"/>
      <c r="L95" s="193"/>
    </row>
    <row r="96" spans="1:12" s="104" customFormat="1" ht="18.75">
      <c r="A96" s="159"/>
      <c r="B96" s="153"/>
      <c r="C96" s="153"/>
      <c r="D96" s="163"/>
      <c r="E96" s="163"/>
      <c r="F96" s="163"/>
      <c r="G96" s="163"/>
      <c r="H96" s="163"/>
      <c r="I96" s="163"/>
      <c r="J96" s="192"/>
      <c r="K96" s="193"/>
      <c r="L96" s="193"/>
    </row>
    <row r="97" spans="1:12" s="104" customFormat="1" ht="18.75">
      <c r="A97" s="159"/>
      <c r="B97" s="153"/>
      <c r="C97" s="153"/>
      <c r="D97" s="163"/>
      <c r="E97" s="163"/>
      <c r="F97" s="163"/>
      <c r="G97" s="163"/>
      <c r="H97" s="163"/>
      <c r="I97" s="163"/>
      <c r="J97" s="192"/>
      <c r="K97" s="193"/>
      <c r="L97" s="193"/>
    </row>
    <row r="98" spans="1:12" s="104" customFormat="1" ht="37.5" customHeight="1">
      <c r="A98" s="159"/>
      <c r="B98" s="153"/>
      <c r="C98" s="274"/>
      <c r="D98" s="274"/>
      <c r="E98" s="276"/>
      <c r="F98" s="276"/>
      <c r="G98" s="163"/>
      <c r="H98" s="163"/>
      <c r="I98" s="163"/>
      <c r="J98" s="192"/>
      <c r="K98" s="193"/>
      <c r="L98" s="193"/>
    </row>
    <row r="99" spans="1:12" s="104" customFormat="1" ht="45" customHeight="1">
      <c r="A99" s="159"/>
      <c r="B99" s="153"/>
      <c r="C99" s="271"/>
      <c r="D99" s="271"/>
      <c r="E99" s="163"/>
      <c r="F99" s="163"/>
      <c r="G99" s="163"/>
      <c r="H99" s="163"/>
      <c r="I99" s="163"/>
      <c r="J99" s="192"/>
      <c r="K99" s="193"/>
      <c r="L99" s="193"/>
    </row>
    <row r="1206" ht="15"/>
  </sheetData>
  <sheetProtection/>
  <mergeCells count="124">
    <mergeCell ref="E93:F93"/>
    <mergeCell ref="A6:A9"/>
    <mergeCell ref="B6:B9"/>
    <mergeCell ref="C6:C9"/>
    <mergeCell ref="D6:I6"/>
    <mergeCell ref="D7:D9"/>
    <mergeCell ref="E7:I7"/>
    <mergeCell ref="E8:E9"/>
    <mergeCell ref="F8:F9"/>
    <mergeCell ref="G8:G9"/>
    <mergeCell ref="H8:I8"/>
    <mergeCell ref="B13:B14"/>
    <mergeCell ref="C13:C14"/>
    <mergeCell ref="D13:D14"/>
    <mergeCell ref="E13:E14"/>
    <mergeCell ref="F13:F14"/>
    <mergeCell ref="G13:G14"/>
    <mergeCell ref="H13:H14"/>
    <mergeCell ref="I13:I14"/>
    <mergeCell ref="B15:B16"/>
    <mergeCell ref="C15:C16"/>
    <mergeCell ref="D15:D16"/>
    <mergeCell ref="E15:E16"/>
    <mergeCell ref="F15:F16"/>
    <mergeCell ref="G15:G16"/>
    <mergeCell ref="I15:I16"/>
    <mergeCell ref="H18:H19"/>
    <mergeCell ref="I18:I19"/>
    <mergeCell ref="H21:H22"/>
    <mergeCell ref="I21:I22"/>
    <mergeCell ref="B18:B19"/>
    <mergeCell ref="C18:C19"/>
    <mergeCell ref="D18:D19"/>
    <mergeCell ref="E18:E19"/>
    <mergeCell ref="F18:F19"/>
    <mergeCell ref="G28:G29"/>
    <mergeCell ref="D21:D22"/>
    <mergeCell ref="E21:E22"/>
    <mergeCell ref="F21:F22"/>
    <mergeCell ref="G21:G22"/>
    <mergeCell ref="H15:H16"/>
    <mergeCell ref="G18:G19"/>
    <mergeCell ref="B21:B22"/>
    <mergeCell ref="C21:C22"/>
    <mergeCell ref="B30:B31"/>
    <mergeCell ref="C30:C31"/>
    <mergeCell ref="D30:D31"/>
    <mergeCell ref="E30:E31"/>
    <mergeCell ref="B28:B29"/>
    <mergeCell ref="C28:C29"/>
    <mergeCell ref="D28:D29"/>
    <mergeCell ref="E28:E29"/>
    <mergeCell ref="F30:F31"/>
    <mergeCell ref="G30:G31"/>
    <mergeCell ref="G35:G36"/>
    <mergeCell ref="H28:H29"/>
    <mergeCell ref="I28:I29"/>
    <mergeCell ref="H30:H31"/>
    <mergeCell ref="I30:I31"/>
    <mergeCell ref="H35:H36"/>
    <mergeCell ref="I35:I36"/>
    <mergeCell ref="F28:F29"/>
    <mergeCell ref="C38:C39"/>
    <mergeCell ref="D38:D39"/>
    <mergeCell ref="E38:E39"/>
    <mergeCell ref="D35:D36"/>
    <mergeCell ref="E35:E36"/>
    <mergeCell ref="F35:F36"/>
    <mergeCell ref="H38:H39"/>
    <mergeCell ref="F38:F39"/>
    <mergeCell ref="G38:G39"/>
    <mergeCell ref="B35:B36"/>
    <mergeCell ref="C35:C36"/>
    <mergeCell ref="B44:B45"/>
    <mergeCell ref="C44:C45"/>
    <mergeCell ref="D44:D45"/>
    <mergeCell ref="E44:E45"/>
    <mergeCell ref="B38:B39"/>
    <mergeCell ref="F51:F52"/>
    <mergeCell ref="F44:F45"/>
    <mergeCell ref="G44:G45"/>
    <mergeCell ref="E48:E49"/>
    <mergeCell ref="F48:F49"/>
    <mergeCell ref="G48:G49"/>
    <mergeCell ref="A65:L65"/>
    <mergeCell ref="I38:I39"/>
    <mergeCell ref="H44:H45"/>
    <mergeCell ref="I44:I45"/>
    <mergeCell ref="H48:H49"/>
    <mergeCell ref="I48:I49"/>
    <mergeCell ref="B51:B52"/>
    <mergeCell ref="C51:C52"/>
    <mergeCell ref="D51:D52"/>
    <mergeCell ref="E51:E52"/>
    <mergeCell ref="A3:I3"/>
    <mergeCell ref="A4:I4"/>
    <mergeCell ref="I51:I52"/>
    <mergeCell ref="B48:B49"/>
    <mergeCell ref="C48:C49"/>
    <mergeCell ref="C68:C71"/>
    <mergeCell ref="B68:B71"/>
    <mergeCell ref="G51:G52"/>
    <mergeCell ref="H51:H52"/>
    <mergeCell ref="D48:D49"/>
    <mergeCell ref="C98:D98"/>
    <mergeCell ref="C99:D99"/>
    <mergeCell ref="A93:B93"/>
    <mergeCell ref="E98:F98"/>
    <mergeCell ref="C93:D93"/>
    <mergeCell ref="A66:L66"/>
    <mergeCell ref="C82:C83"/>
    <mergeCell ref="D82:D83"/>
    <mergeCell ref="B78:F78"/>
    <mergeCell ref="D68:L68"/>
    <mergeCell ref="B79:F79"/>
    <mergeCell ref="B80:F80"/>
    <mergeCell ref="A68:A71"/>
    <mergeCell ref="A13:A14"/>
    <mergeCell ref="M13:M16"/>
    <mergeCell ref="C94:D94"/>
    <mergeCell ref="D69:F70"/>
    <mergeCell ref="G69:L69"/>
    <mergeCell ref="G70:I70"/>
    <mergeCell ref="J70:L70"/>
  </mergeCells>
  <hyperlinks>
    <hyperlink ref="A6" location="Par1206" display="Par1206"/>
    <hyperlink ref="F8" r:id="rId1" display="consultantplus://offline/ref=EC513630DD0A2F9B2EC0205798B851993A5251D08ECB4308CDDA19182ECC2154EE9666852E0BHBNDC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2"/>
  <rowBreaks count="3" manualBreakCount="3">
    <brk id="24" max="8" man="1"/>
    <brk id="41" max="8" man="1"/>
    <brk id="5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177"/>
  <sheetViews>
    <sheetView view="pageBreakPreview" zoomScale="60" zoomScaleNormal="60" zoomScalePageLayoutView="0" workbookViewId="0" topLeftCell="A36">
      <selection activeCell="L54" sqref="L54"/>
    </sheetView>
  </sheetViews>
  <sheetFormatPr defaultColWidth="9.140625" defaultRowHeight="15"/>
  <cols>
    <col min="1" max="1" width="8.57421875" style="89" customWidth="1"/>
    <col min="2" max="2" width="30.140625" style="89" customWidth="1"/>
    <col min="3" max="3" width="21.140625" style="89" customWidth="1"/>
    <col min="4" max="4" width="19.28125" style="89" customWidth="1"/>
    <col min="5" max="5" width="20.7109375" style="89" customWidth="1"/>
    <col min="6" max="6" width="21.421875" style="89" customWidth="1"/>
    <col min="7" max="7" width="25.57421875" style="89" customWidth="1"/>
    <col min="8" max="8" width="15.421875" style="89" customWidth="1"/>
    <col min="9" max="9" width="15.00390625" style="89" customWidth="1"/>
    <col min="10" max="10" width="21.140625" style="89" customWidth="1"/>
    <col min="11" max="11" width="9.140625" style="174" customWidth="1"/>
    <col min="12" max="12" width="25.8515625" style="174" customWidth="1"/>
    <col min="13" max="13" width="18.7109375" style="174" customWidth="1"/>
    <col min="14" max="14" width="24.7109375" style="174" bestFit="1" customWidth="1"/>
    <col min="15" max="15" width="24.8515625" style="174" customWidth="1"/>
    <col min="16" max="17" width="9.140625" style="174" customWidth="1"/>
    <col min="18" max="19" width="13.421875" style="174" bestFit="1" customWidth="1"/>
    <col min="20" max="16384" width="9.140625" style="89" customWidth="1"/>
  </cols>
  <sheetData>
    <row r="1" ht="18.75">
      <c r="J1" s="227" t="s">
        <v>118</v>
      </c>
    </row>
    <row r="2" ht="18.75">
      <c r="J2" s="227" t="s">
        <v>119</v>
      </c>
    </row>
    <row r="3" ht="16.5">
      <c r="J3" s="228" t="s">
        <v>120</v>
      </c>
    </row>
    <row r="4" ht="16.5">
      <c r="J4" s="228" t="s">
        <v>121</v>
      </c>
    </row>
    <row r="5" ht="16.5">
      <c r="J5" s="228" t="s">
        <v>122</v>
      </c>
    </row>
    <row r="6" ht="16.5">
      <c r="J6" s="228" t="s">
        <v>123</v>
      </c>
    </row>
    <row r="7" ht="16.5">
      <c r="J7" s="228" t="s">
        <v>124</v>
      </c>
    </row>
    <row r="8" ht="16.5">
      <c r="J8" s="228" t="s">
        <v>125</v>
      </c>
    </row>
    <row r="11" spans="1:10" ht="15" customHeight="1">
      <c r="A11" s="307" t="s">
        <v>337</v>
      </c>
      <c r="B11" s="307"/>
      <c r="C11" s="307"/>
      <c r="D11" s="307"/>
      <c r="E11" s="307"/>
      <c r="F11" s="307"/>
      <c r="G11" s="307"/>
      <c r="H11" s="307"/>
      <c r="I11" s="307"/>
      <c r="J11" s="307"/>
    </row>
    <row r="12" spans="1:10" ht="18.75">
      <c r="A12" s="229"/>
      <c r="B12" s="229"/>
      <c r="C12" s="223"/>
      <c r="D12" s="229"/>
      <c r="E12" s="229"/>
      <c r="F12" s="229"/>
      <c r="G12" s="229"/>
      <c r="H12" s="229"/>
      <c r="I12" s="229"/>
      <c r="J12" s="229"/>
    </row>
    <row r="13" spans="1:10" ht="18.75">
      <c r="A13" s="307" t="s">
        <v>126</v>
      </c>
      <c r="B13" s="307"/>
      <c r="C13" s="307"/>
      <c r="D13" s="307"/>
      <c r="E13" s="307"/>
      <c r="F13" s="307"/>
      <c r="G13" s="307"/>
      <c r="H13" s="307"/>
      <c r="I13" s="307"/>
      <c r="J13" s="307"/>
    </row>
    <row r="14" spans="1:10" ht="15">
      <c r="A14" s="229"/>
      <c r="B14" s="229"/>
      <c r="C14" s="229"/>
      <c r="D14" s="229"/>
      <c r="E14" s="229"/>
      <c r="F14" s="229"/>
      <c r="G14" s="229"/>
      <c r="H14" s="229"/>
      <c r="I14" s="229"/>
      <c r="J14" s="229"/>
    </row>
    <row r="15" spans="1:10" ht="18.75">
      <c r="A15" s="308" t="s">
        <v>288</v>
      </c>
      <c r="B15" s="308"/>
      <c r="C15" s="308"/>
      <c r="D15" s="308"/>
      <c r="E15" s="308"/>
      <c r="F15" s="308"/>
      <c r="G15" s="308"/>
      <c r="H15" s="308"/>
      <c r="I15" s="308"/>
      <c r="J15" s="308"/>
    </row>
    <row r="16" spans="1:10" ht="21" customHeight="1">
      <c r="A16" s="308" t="s">
        <v>289</v>
      </c>
      <c r="B16" s="308"/>
      <c r="C16" s="308"/>
      <c r="D16" s="308"/>
      <c r="E16" s="308"/>
      <c r="F16" s="308"/>
      <c r="G16" s="308"/>
      <c r="H16" s="308"/>
      <c r="I16" s="308"/>
      <c r="J16" s="308"/>
    </row>
    <row r="17" ht="18.75">
      <c r="A17" s="101"/>
    </row>
    <row r="18" spans="1:10" ht="18.75">
      <c r="A18" s="307" t="s">
        <v>127</v>
      </c>
      <c r="B18" s="307"/>
      <c r="C18" s="307"/>
      <c r="D18" s="307"/>
      <c r="E18" s="307"/>
      <c r="F18" s="307"/>
      <c r="G18" s="307"/>
      <c r="H18" s="307"/>
      <c r="I18" s="307"/>
      <c r="J18" s="307"/>
    </row>
    <row r="19" ht="15.75" thickBot="1"/>
    <row r="20" spans="1:12" ht="36" customHeight="1" thickBot="1">
      <c r="A20" s="282" t="s">
        <v>0</v>
      </c>
      <c r="B20" s="282" t="s">
        <v>128</v>
      </c>
      <c r="C20" s="282" t="s">
        <v>335</v>
      </c>
      <c r="D20" s="295" t="s">
        <v>130</v>
      </c>
      <c r="E20" s="301"/>
      <c r="F20" s="301"/>
      <c r="G20" s="296"/>
      <c r="H20" s="282" t="s">
        <v>131</v>
      </c>
      <c r="I20" s="282" t="s">
        <v>132</v>
      </c>
      <c r="J20" s="282" t="s">
        <v>334</v>
      </c>
      <c r="L20" s="173"/>
    </row>
    <row r="21" spans="1:10" ht="19.5" thickBot="1">
      <c r="A21" s="286"/>
      <c r="B21" s="286"/>
      <c r="C21" s="286"/>
      <c r="D21" s="282" t="s">
        <v>134</v>
      </c>
      <c r="E21" s="295" t="s">
        <v>22</v>
      </c>
      <c r="F21" s="301"/>
      <c r="G21" s="296"/>
      <c r="H21" s="286"/>
      <c r="I21" s="286"/>
      <c r="J21" s="286"/>
    </row>
    <row r="22" spans="1:12" ht="109.5" customHeight="1" thickBot="1">
      <c r="A22" s="283"/>
      <c r="B22" s="283"/>
      <c r="C22" s="283"/>
      <c r="D22" s="283"/>
      <c r="E22" s="143" t="s">
        <v>135</v>
      </c>
      <c r="F22" s="143" t="s">
        <v>136</v>
      </c>
      <c r="G22" s="143" t="s">
        <v>137</v>
      </c>
      <c r="H22" s="283"/>
      <c r="I22" s="283"/>
      <c r="J22" s="283"/>
      <c r="L22" s="174">
        <v>1580197.3200000003</v>
      </c>
    </row>
    <row r="23" spans="1:10" ht="19.5" thickBot="1">
      <c r="A23" s="220">
        <v>1</v>
      </c>
      <c r="B23" s="143">
        <v>2</v>
      </c>
      <c r="C23" s="143">
        <v>3</v>
      </c>
      <c r="D23" s="143">
        <v>4</v>
      </c>
      <c r="E23" s="143">
        <v>5</v>
      </c>
      <c r="F23" s="143">
        <v>6</v>
      </c>
      <c r="G23" s="143">
        <v>7</v>
      </c>
      <c r="H23" s="143">
        <v>8</v>
      </c>
      <c r="I23" s="143">
        <v>9</v>
      </c>
      <c r="J23" s="143">
        <v>10</v>
      </c>
    </row>
    <row r="24" spans="1:16" ht="38.25" thickBot="1">
      <c r="A24" s="220"/>
      <c r="B24" s="220" t="s">
        <v>280</v>
      </c>
      <c r="C24" s="143">
        <v>3.65</v>
      </c>
      <c r="D24" s="51">
        <f>E24+F24+G24</f>
        <v>32860.63421988155</v>
      </c>
      <c r="E24" s="51">
        <f>77013.1/C24</f>
        <v>21099.479452054795</v>
      </c>
      <c r="F24" s="51"/>
      <c r="G24" s="51">
        <f>E24*K24+878.117957147875-1776.650860554</f>
        <v>11761.15476782675</v>
      </c>
      <c r="H24" s="51"/>
      <c r="I24" s="51">
        <v>1.6</v>
      </c>
      <c r="J24" s="51">
        <f>((D24*I24)+(D24))*C24*12</f>
        <v>3742169.024960111</v>
      </c>
      <c r="K24" s="174">
        <v>0.6</v>
      </c>
      <c r="L24" s="173">
        <v>3944428.48</v>
      </c>
      <c r="M24" s="173">
        <f>J24-L24</f>
        <v>-202259.4550398891</v>
      </c>
      <c r="N24" s="203">
        <f>M24/2.6/12/C24</f>
        <v>-1776.0752989101607</v>
      </c>
      <c r="P24" s="174">
        <f aca="true" t="shared" si="0" ref="P24:P29">D24*2.6</f>
        <v>85437.64897169203</v>
      </c>
    </row>
    <row r="25" spans="1:16" ht="38.25" thickBot="1">
      <c r="A25" s="220"/>
      <c r="B25" s="220" t="s">
        <v>281</v>
      </c>
      <c r="C25" s="143">
        <v>32</v>
      </c>
      <c r="D25" s="51">
        <f>E25+F25+G25</f>
        <v>21182.226689530362</v>
      </c>
      <c r="E25" s="51">
        <f>309095.66/C25</f>
        <v>9659.239375</v>
      </c>
      <c r="F25" s="51"/>
      <c r="G25" s="51">
        <f>E25*K25+E25*0.2-771.19528051764+3958.259014423</f>
        <v>11522.98731453036</v>
      </c>
      <c r="H25" s="230"/>
      <c r="I25" s="51">
        <v>1.6</v>
      </c>
      <c r="J25" s="51">
        <f>((D25*I25)+(D25))*C25*12</f>
        <v>21148335.126827113</v>
      </c>
      <c r="K25" s="174">
        <v>0.663</v>
      </c>
      <c r="L25" s="173">
        <f>17416877.88+27910.85446719</f>
        <v>17444788.73446719</v>
      </c>
      <c r="M25" s="173">
        <f>J25-L25</f>
        <v>3703546.3923599236</v>
      </c>
      <c r="N25" s="203">
        <f>M25/2.6/12/C25</f>
        <v>3709.4815628605006</v>
      </c>
      <c r="P25" s="174">
        <f t="shared" si="0"/>
        <v>55073.78939277894</v>
      </c>
    </row>
    <row r="26" spans="1:16" ht="57" thickBot="1">
      <c r="A26" s="231"/>
      <c r="B26" s="220" t="s">
        <v>282</v>
      </c>
      <c r="C26" s="143">
        <v>20</v>
      </c>
      <c r="D26" s="51">
        <f>E26+F26+G26</f>
        <v>8683.600986413643</v>
      </c>
      <c r="E26" s="51">
        <f>117362.84/C26</f>
        <v>5868.142</v>
      </c>
      <c r="F26" s="51"/>
      <c r="G26" s="51">
        <f>E26*K26+578.269093+507.580208-0.0012325353574-324.238782051</f>
        <v>2815.4589864136424</v>
      </c>
      <c r="H26" s="51"/>
      <c r="I26" s="51">
        <v>1.6</v>
      </c>
      <c r="J26" s="51">
        <f>((D26*I26)+(D26))*C26*12</f>
        <v>5418567.015522114</v>
      </c>
      <c r="K26" s="174">
        <v>0.35</v>
      </c>
      <c r="L26" s="173">
        <v>10313060.604634875</v>
      </c>
      <c r="M26" s="173">
        <f>J26+J27-L26</f>
        <v>-1628196.6219080929</v>
      </c>
      <c r="N26" s="204">
        <f>M26/2.6/12/C26</f>
        <v>-2609.289458186046</v>
      </c>
      <c r="P26" s="174">
        <f t="shared" si="0"/>
        <v>22577.362564675474</v>
      </c>
    </row>
    <row r="27" spans="1:19" ht="38.25" thickBot="1">
      <c r="A27" s="231"/>
      <c r="B27" s="220" t="s">
        <v>283</v>
      </c>
      <c r="C27" s="143">
        <v>18.6</v>
      </c>
      <c r="D27" s="51">
        <f>E27+F27+G27</f>
        <v>5628.44114834</v>
      </c>
      <c r="E27" s="92">
        <f>62885.05/C27</f>
        <v>3380.9166666666665</v>
      </c>
      <c r="F27" s="92"/>
      <c r="G27" s="51">
        <f>E27*K27+500-348.64385166</f>
        <v>2247.524481673333</v>
      </c>
      <c r="H27" s="143"/>
      <c r="I27" s="51">
        <v>1.6</v>
      </c>
      <c r="J27" s="51">
        <f>((D27*I27)+(D27))*C27*12</f>
        <v>3266296.967204669</v>
      </c>
      <c r="K27" s="174">
        <v>0.62</v>
      </c>
      <c r="L27" s="173">
        <f>SUM(L24:L26)</f>
        <v>31702277.819102064</v>
      </c>
      <c r="M27" s="173">
        <v>5492446</v>
      </c>
      <c r="P27" s="174">
        <f t="shared" si="0"/>
        <v>14633.946985684</v>
      </c>
      <c r="R27" s="173">
        <f>L27-J28</f>
        <v>-1873090.3154119477</v>
      </c>
      <c r="S27" s="205">
        <f>R27-259000-100000</f>
        <v>-2232090.3154119477</v>
      </c>
    </row>
    <row r="28" spans="1:16" ht="39.75" customHeight="1" thickBot="1">
      <c r="A28" s="305" t="s">
        <v>138</v>
      </c>
      <c r="B28" s="306"/>
      <c r="C28" s="232" t="s">
        <v>139</v>
      </c>
      <c r="D28" s="232"/>
      <c r="E28" s="232" t="s">
        <v>139</v>
      </c>
      <c r="F28" s="232" t="s">
        <v>139</v>
      </c>
      <c r="G28" s="232" t="s">
        <v>139</v>
      </c>
      <c r="H28" s="233" t="s">
        <v>139</v>
      </c>
      <c r="I28" s="232" t="s">
        <v>139</v>
      </c>
      <c r="J28" s="234">
        <f>SUM(J24:J27)</f>
        <v>33575368.13451401</v>
      </c>
      <c r="L28" s="173">
        <f>L27-J28</f>
        <v>-1873090.3154119477</v>
      </c>
      <c r="M28" s="174">
        <f>M27*2.6</f>
        <v>14280359.6</v>
      </c>
      <c r="P28" s="174">
        <f t="shared" si="0"/>
        <v>0</v>
      </c>
    </row>
    <row r="29" spans="12:16" ht="15">
      <c r="L29" s="206">
        <f>L28/12/2.6/10.65</f>
        <v>-5637.084132093257</v>
      </c>
      <c r="M29" s="173"/>
      <c r="P29" s="174">
        <f t="shared" si="0"/>
        <v>0</v>
      </c>
    </row>
    <row r="30" spans="12:13" ht="15">
      <c r="L30" s="173"/>
      <c r="M30" s="173"/>
    </row>
    <row r="31" spans="1:12" ht="38.25" customHeight="1">
      <c r="A31" s="304" t="s">
        <v>186</v>
      </c>
      <c r="B31" s="304"/>
      <c r="C31" s="304"/>
      <c r="D31" s="304"/>
      <c r="E31" s="304"/>
      <c r="F31" s="304"/>
      <c r="L31" s="173">
        <f>J24+J26+J27</f>
        <v>12427033.007686894</v>
      </c>
    </row>
    <row r="32" ht="15.75" thickBot="1">
      <c r="L32" s="173">
        <f>L24+L26</f>
        <v>14257489.084634876</v>
      </c>
    </row>
    <row r="33" spans="1:15" ht="123" customHeight="1" thickBot="1">
      <c r="A33" s="91" t="s">
        <v>0</v>
      </c>
      <c r="B33" s="222" t="s">
        <v>140</v>
      </c>
      <c r="C33" s="222" t="s">
        <v>141</v>
      </c>
      <c r="D33" s="222" t="s">
        <v>142</v>
      </c>
      <c r="E33" s="222" t="s">
        <v>143</v>
      </c>
      <c r="F33" s="222" t="s">
        <v>144</v>
      </c>
      <c r="J33" s="173">
        <f>J28-12427033-19275244.05</f>
        <v>1873091.0845140107</v>
      </c>
      <c r="L33" s="173">
        <f>12427033+19275244.05</f>
        <v>31702277.05</v>
      </c>
      <c r="M33" s="174">
        <f>L33/2.6/12/(C27)</f>
        <v>54628.95824717397</v>
      </c>
      <c r="N33" s="200">
        <f>J28*30%</f>
        <v>10072610.440354204</v>
      </c>
      <c r="O33" s="174">
        <f>L33/2.6/12/(C26)</f>
        <v>50804.931169871794</v>
      </c>
    </row>
    <row r="34" spans="1:12" ht="19.5" thickBot="1">
      <c r="A34" s="220">
        <v>1</v>
      </c>
      <c r="B34" s="143">
        <v>2</v>
      </c>
      <c r="C34" s="143">
        <v>3</v>
      </c>
      <c r="D34" s="143">
        <v>4</v>
      </c>
      <c r="E34" s="143">
        <v>5</v>
      </c>
      <c r="F34" s="143">
        <v>6</v>
      </c>
      <c r="L34" s="201">
        <f>(L33-J28)/12/C26/2.6</f>
        <v>-3001.748532875017</v>
      </c>
    </row>
    <row r="35" spans="1:13" ht="19.5" thickBot="1">
      <c r="A35" s="220">
        <v>1</v>
      </c>
      <c r="B35" s="143"/>
      <c r="C35" s="92">
        <v>0</v>
      </c>
      <c r="D35" s="92">
        <v>0</v>
      </c>
      <c r="E35" s="92">
        <v>0</v>
      </c>
      <c r="F35" s="92">
        <f>C35*D35*E35</f>
        <v>0</v>
      </c>
      <c r="L35" s="174" t="s">
        <v>310</v>
      </c>
      <c r="M35" s="173">
        <f>L27-J28-259000-100000</f>
        <v>-2232090.3154119477</v>
      </c>
    </row>
    <row r="36" spans="1:13" ht="19.5" thickBot="1">
      <c r="A36" s="220"/>
      <c r="B36" s="108" t="s">
        <v>138</v>
      </c>
      <c r="C36" s="66" t="s">
        <v>139</v>
      </c>
      <c r="D36" s="66" t="s">
        <v>139</v>
      </c>
      <c r="E36" s="66" t="s">
        <v>139</v>
      </c>
      <c r="F36" s="109">
        <f>F35</f>
        <v>0</v>
      </c>
      <c r="L36" s="207">
        <v>213</v>
      </c>
      <c r="M36" s="173">
        <f>M27-D55</f>
        <v>-4646912.84</v>
      </c>
    </row>
    <row r="38" spans="1:6" ht="18.75">
      <c r="A38" s="304" t="s">
        <v>344</v>
      </c>
      <c r="B38" s="304"/>
      <c r="C38" s="304"/>
      <c r="D38" s="304"/>
      <c r="E38" s="304"/>
      <c r="F38" s="304"/>
    </row>
    <row r="39" ht="15.75" thickBot="1"/>
    <row r="40" spans="1:6" ht="124.5" customHeight="1" thickBot="1">
      <c r="A40" s="91" t="s">
        <v>0</v>
      </c>
      <c r="B40" s="222" t="s">
        <v>140</v>
      </c>
      <c r="C40" s="222" t="s">
        <v>145</v>
      </c>
      <c r="D40" s="222" t="s">
        <v>146</v>
      </c>
      <c r="E40" s="222" t="s">
        <v>147</v>
      </c>
      <c r="F40" s="222" t="s">
        <v>144</v>
      </c>
    </row>
    <row r="41" spans="1:6" ht="19.5" thickBot="1">
      <c r="A41" s="220">
        <v>1</v>
      </c>
      <c r="B41" s="143">
        <v>2</v>
      </c>
      <c r="C41" s="143">
        <v>3</v>
      </c>
      <c r="D41" s="143">
        <v>4</v>
      </c>
      <c r="E41" s="143">
        <v>5</v>
      </c>
      <c r="F41" s="143">
        <v>6</v>
      </c>
    </row>
    <row r="42" spans="1:6" ht="51.75" customHeight="1" thickBot="1">
      <c r="A42" s="220">
        <v>1</v>
      </c>
      <c r="B42" s="143" t="s">
        <v>265</v>
      </c>
      <c r="C42" s="143">
        <v>2</v>
      </c>
      <c r="D42" s="143">
        <v>12</v>
      </c>
      <c r="E42" s="92">
        <v>90</v>
      </c>
      <c r="F42" s="92">
        <f>C42*D42*E42</f>
        <v>2160</v>
      </c>
    </row>
    <row r="43" spans="1:6" ht="19.5" thickBot="1">
      <c r="A43" s="220"/>
      <c r="B43" s="108" t="s">
        <v>138</v>
      </c>
      <c r="C43" s="66" t="s">
        <v>139</v>
      </c>
      <c r="D43" s="66" t="s">
        <v>139</v>
      </c>
      <c r="E43" s="66" t="s">
        <v>139</v>
      </c>
      <c r="F43" s="112">
        <f>F42</f>
        <v>2160</v>
      </c>
    </row>
    <row r="45" spans="1:5" ht="80.25" customHeight="1">
      <c r="A45" s="304" t="s">
        <v>188</v>
      </c>
      <c r="B45" s="304"/>
      <c r="C45" s="304"/>
      <c r="D45" s="304"/>
      <c r="E45" s="304"/>
    </row>
    <row r="46" ht="15.75" thickBot="1"/>
    <row r="47" spans="1:4" ht="144.75" customHeight="1" thickBot="1">
      <c r="A47" s="91" t="s">
        <v>0</v>
      </c>
      <c r="B47" s="222" t="s">
        <v>148</v>
      </c>
      <c r="C47" s="222" t="s">
        <v>149</v>
      </c>
      <c r="D47" s="222" t="s">
        <v>150</v>
      </c>
    </row>
    <row r="48" spans="1:4" ht="19.5" thickBot="1">
      <c r="A48" s="220">
        <v>1</v>
      </c>
      <c r="B48" s="143">
        <v>2</v>
      </c>
      <c r="C48" s="143">
        <v>3</v>
      </c>
      <c r="D48" s="143">
        <v>4</v>
      </c>
    </row>
    <row r="49" spans="1:4" ht="113.25" customHeight="1" thickBot="1">
      <c r="A49" s="220">
        <v>1</v>
      </c>
      <c r="B49" s="94" t="s">
        <v>151</v>
      </c>
      <c r="C49" s="143" t="s">
        <v>139</v>
      </c>
      <c r="D49" s="51">
        <f>D50+D52</f>
        <v>7386178.65296985</v>
      </c>
    </row>
    <row r="50" spans="1:4" ht="18.75">
      <c r="A50" s="282" t="s">
        <v>152</v>
      </c>
      <c r="B50" s="95" t="s">
        <v>22</v>
      </c>
      <c r="C50" s="282"/>
      <c r="D50" s="278">
        <f>3753163.97+6386194.87-D53-D54</f>
        <v>7386178.65296985</v>
      </c>
    </row>
    <row r="51" spans="1:4" ht="19.5" thickBot="1">
      <c r="A51" s="283"/>
      <c r="B51" s="96" t="s">
        <v>153</v>
      </c>
      <c r="C51" s="283"/>
      <c r="D51" s="279"/>
    </row>
    <row r="52" spans="1:4" ht="19.5" thickBot="1">
      <c r="A52" s="220" t="s">
        <v>154</v>
      </c>
      <c r="B52" s="97" t="s">
        <v>155</v>
      </c>
      <c r="C52" s="143"/>
      <c r="D52" s="51"/>
    </row>
    <row r="53" spans="1:4" ht="120.75" customHeight="1" thickBot="1">
      <c r="A53" s="220">
        <v>2</v>
      </c>
      <c r="B53" s="94" t="s">
        <v>156</v>
      </c>
      <c r="C53" s="143" t="s">
        <v>139</v>
      </c>
      <c r="D53" s="51">
        <f>C54*3.1%</f>
        <v>1040836.4121699344</v>
      </c>
    </row>
    <row r="54" spans="1:4" ht="164.25" customHeight="1" thickBot="1">
      <c r="A54" s="220">
        <v>3</v>
      </c>
      <c r="B54" s="94" t="s">
        <v>157</v>
      </c>
      <c r="C54" s="51">
        <f>J28</f>
        <v>33575368.13451401</v>
      </c>
      <c r="D54" s="51">
        <f>C54*5.1%</f>
        <v>1712343.7748602144</v>
      </c>
    </row>
    <row r="55" spans="1:5" ht="19.5" thickBot="1">
      <c r="A55" s="220"/>
      <c r="B55" s="108" t="s">
        <v>138</v>
      </c>
      <c r="C55" s="66" t="s">
        <v>139</v>
      </c>
      <c r="D55" s="67">
        <f>D50+D53+D54</f>
        <v>10139358.84</v>
      </c>
      <c r="E55" s="173">
        <f>6025910.95+3753163.97-D55</f>
        <v>-360283.9199999999</v>
      </c>
    </row>
    <row r="57" spans="1:6" ht="36" customHeight="1">
      <c r="A57" s="304" t="s">
        <v>189</v>
      </c>
      <c r="B57" s="304"/>
      <c r="C57" s="304"/>
      <c r="D57" s="304"/>
      <c r="E57" s="304"/>
      <c r="F57" s="304"/>
    </row>
    <row r="59" spans="1:6" ht="18.75">
      <c r="A59" s="309" t="s">
        <v>345</v>
      </c>
      <c r="B59" s="309"/>
      <c r="C59" s="309"/>
      <c r="D59" s="309"/>
      <c r="E59" s="309"/>
      <c r="F59" s="309"/>
    </row>
    <row r="60" spans="1:6" ht="18.75">
      <c r="A60" s="309" t="s">
        <v>343</v>
      </c>
      <c r="B60" s="309"/>
      <c r="C60" s="309"/>
      <c r="D60" s="309"/>
      <c r="E60" s="309"/>
      <c r="F60" s="309"/>
    </row>
    <row r="61" ht="19.5" thickBot="1">
      <c r="A61" s="98"/>
    </row>
    <row r="62" spans="1:5" ht="108" customHeight="1" thickBot="1">
      <c r="A62" s="91" t="s">
        <v>0</v>
      </c>
      <c r="B62" s="222" t="s">
        <v>1</v>
      </c>
      <c r="C62" s="222" t="s">
        <v>158</v>
      </c>
      <c r="D62" s="222" t="s">
        <v>159</v>
      </c>
      <c r="E62" s="222" t="s">
        <v>160</v>
      </c>
    </row>
    <row r="63" spans="1:5" ht="19.5" thickBot="1">
      <c r="A63" s="220">
        <v>1</v>
      </c>
      <c r="B63" s="143">
        <v>2</v>
      </c>
      <c r="C63" s="143">
        <v>3</v>
      </c>
      <c r="D63" s="143">
        <v>4</v>
      </c>
      <c r="E63" s="143">
        <v>5</v>
      </c>
    </row>
    <row r="64" spans="1:5" ht="19.5" thickBot="1">
      <c r="A64" s="220"/>
      <c r="B64" s="143"/>
      <c r="C64" s="143"/>
      <c r="D64" s="143"/>
      <c r="E64" s="143"/>
    </row>
    <row r="65" spans="1:5" ht="19.5" thickBot="1">
      <c r="A65" s="220"/>
      <c r="B65" s="108" t="s">
        <v>138</v>
      </c>
      <c r="C65" s="66" t="s">
        <v>139</v>
      </c>
      <c r="D65" s="66" t="s">
        <v>139</v>
      </c>
      <c r="E65" s="66"/>
    </row>
    <row r="68" spans="1:7" ht="18.75">
      <c r="A68" s="307" t="s">
        <v>192</v>
      </c>
      <c r="B68" s="307"/>
      <c r="C68" s="307"/>
      <c r="D68" s="307"/>
      <c r="E68" s="307"/>
      <c r="F68" s="307"/>
      <c r="G68" s="307"/>
    </row>
    <row r="69" ht="18.75">
      <c r="A69" s="99"/>
    </row>
    <row r="70" ht="18.75">
      <c r="A70" s="98"/>
    </row>
    <row r="71" spans="1:7" ht="18.75">
      <c r="A71" s="309" t="s">
        <v>346</v>
      </c>
      <c r="B71" s="309"/>
      <c r="C71" s="309"/>
      <c r="D71" s="309"/>
      <c r="E71" s="309"/>
      <c r="F71" s="309"/>
      <c r="G71" s="309"/>
    </row>
    <row r="72" spans="1:7" ht="18.75">
      <c r="A72" s="309" t="s">
        <v>256</v>
      </c>
      <c r="B72" s="309"/>
      <c r="C72" s="309"/>
      <c r="D72" s="309"/>
      <c r="E72" s="309"/>
      <c r="F72" s="309"/>
      <c r="G72" s="309"/>
    </row>
    <row r="73" ht="19.5" thickBot="1">
      <c r="A73" s="98"/>
    </row>
    <row r="74" spans="1:6" ht="141.75" customHeight="1" thickBot="1">
      <c r="A74" s="91" t="s">
        <v>0</v>
      </c>
      <c r="B74" s="222" t="s">
        <v>140</v>
      </c>
      <c r="C74" s="222" t="s">
        <v>161</v>
      </c>
      <c r="D74" s="222" t="s">
        <v>162</v>
      </c>
      <c r="E74" s="222" t="s">
        <v>163</v>
      </c>
      <c r="F74" s="174"/>
    </row>
    <row r="75" spans="1:6" ht="19.5" thickBot="1">
      <c r="A75" s="220">
        <v>1</v>
      </c>
      <c r="B75" s="143">
        <v>2</v>
      </c>
      <c r="C75" s="143">
        <v>3</v>
      </c>
      <c r="D75" s="143">
        <v>4</v>
      </c>
      <c r="E75" s="143">
        <v>5</v>
      </c>
      <c r="F75" s="174"/>
    </row>
    <row r="76" spans="1:12" ht="19.5" thickBot="1">
      <c r="A76" s="220">
        <v>1</v>
      </c>
      <c r="B76" s="143" t="s">
        <v>254</v>
      </c>
      <c r="C76" s="111">
        <v>14909727.27</v>
      </c>
      <c r="D76" s="111">
        <v>2.2</v>
      </c>
      <c r="E76" s="111">
        <f>(C76*D76)/100</f>
        <v>328013.99994</v>
      </c>
      <c r="F76" s="175">
        <f>328014-E76</f>
        <v>5.9999991208314896E-05</v>
      </c>
      <c r="H76" s="100"/>
      <c r="L76" s="174">
        <f>420508/0.015</f>
        <v>28033866.666666668</v>
      </c>
    </row>
    <row r="77" spans="1:6" ht="27" customHeight="1" thickBot="1">
      <c r="A77" s="220">
        <v>2</v>
      </c>
      <c r="B77" s="143" t="s">
        <v>255</v>
      </c>
      <c r="C77" s="111">
        <v>28033866.67</v>
      </c>
      <c r="D77" s="111">
        <v>1.5</v>
      </c>
      <c r="E77" s="111">
        <f>(C77*D77)/100</f>
        <v>420508.00005000003</v>
      </c>
      <c r="F77" s="175">
        <f>420508-E77</f>
        <v>-5.000003147870302E-05</v>
      </c>
    </row>
    <row r="78" spans="1:5" ht="19.5" thickBot="1">
      <c r="A78" s="220"/>
      <c r="B78" s="108" t="s">
        <v>138</v>
      </c>
      <c r="C78" s="112"/>
      <c r="D78" s="112" t="s">
        <v>139</v>
      </c>
      <c r="E78" s="112">
        <f>E77+E76</f>
        <v>748521.99999</v>
      </c>
    </row>
    <row r="80" spans="1:5" ht="18.75">
      <c r="A80" s="307" t="s">
        <v>300</v>
      </c>
      <c r="B80" s="307"/>
      <c r="C80" s="307"/>
      <c r="D80" s="307"/>
      <c r="E80" s="307"/>
    </row>
    <row r="81" ht="18.75">
      <c r="A81" s="99"/>
    </row>
    <row r="82" ht="18.75">
      <c r="A82" s="101" t="s">
        <v>290</v>
      </c>
    </row>
    <row r="83" spans="1:7" ht="18.75">
      <c r="A83" s="224" t="s">
        <v>256</v>
      </c>
      <c r="B83" s="224"/>
      <c r="C83" s="224"/>
      <c r="D83" s="224"/>
      <c r="E83" s="224"/>
      <c r="F83" s="224"/>
      <c r="G83" s="224"/>
    </row>
    <row r="84" ht="18.75">
      <c r="A84" s="101"/>
    </row>
    <row r="85" spans="1:6" ht="18.75">
      <c r="A85" s="307" t="s">
        <v>301</v>
      </c>
      <c r="B85" s="307"/>
      <c r="C85" s="307"/>
      <c r="D85" s="307"/>
      <c r="E85" s="307"/>
      <c r="F85" s="307"/>
    </row>
    <row r="86" ht="15.75" thickBot="1"/>
    <row r="87" spans="1:6" ht="38.25" thickBot="1">
      <c r="A87" s="91" t="s">
        <v>0</v>
      </c>
      <c r="B87" s="222" t="s">
        <v>140</v>
      </c>
      <c r="C87" s="222" t="s">
        <v>165</v>
      </c>
      <c r="D87" s="222" t="s">
        <v>166</v>
      </c>
      <c r="E87" s="222" t="s">
        <v>167</v>
      </c>
      <c r="F87" s="222" t="s">
        <v>144</v>
      </c>
    </row>
    <row r="88" spans="1:6" ht="19.5" thickBot="1">
      <c r="A88" s="220">
        <v>1</v>
      </c>
      <c r="B88" s="143">
        <v>2</v>
      </c>
      <c r="C88" s="143">
        <v>3</v>
      </c>
      <c r="D88" s="143">
        <v>4</v>
      </c>
      <c r="E88" s="143">
        <v>5</v>
      </c>
      <c r="F88" s="143">
        <v>6</v>
      </c>
    </row>
    <row r="89" spans="1:6" ht="38.25" thickBot="1">
      <c r="A89" s="220">
        <v>1</v>
      </c>
      <c r="B89" s="143" t="s">
        <v>258</v>
      </c>
      <c r="C89" s="143">
        <v>2</v>
      </c>
      <c r="D89" s="143">
        <v>12</v>
      </c>
      <c r="E89" s="111">
        <v>1000</v>
      </c>
      <c r="F89" s="111">
        <f>C89*D89*E89</f>
        <v>24000</v>
      </c>
    </row>
    <row r="90" spans="1:6" ht="19.5" thickBot="1">
      <c r="A90" s="220"/>
      <c r="B90" s="108" t="s">
        <v>138</v>
      </c>
      <c r="C90" s="66" t="s">
        <v>139</v>
      </c>
      <c r="D90" s="66" t="s">
        <v>139</v>
      </c>
      <c r="E90" s="66" t="s">
        <v>139</v>
      </c>
      <c r="F90" s="112">
        <f>F89</f>
        <v>24000</v>
      </c>
    </row>
    <row r="92" spans="1:6" ht="30" customHeight="1">
      <c r="A92" s="307" t="s">
        <v>302</v>
      </c>
      <c r="B92" s="307"/>
      <c r="C92" s="307"/>
      <c r="D92" s="307"/>
      <c r="E92" s="307"/>
      <c r="F92" s="307"/>
    </row>
    <row r="93" ht="15.75" thickBot="1"/>
    <row r="94" spans="1:5" ht="57" thickBot="1">
      <c r="A94" s="91" t="s">
        <v>0</v>
      </c>
      <c r="B94" s="222" t="s">
        <v>140</v>
      </c>
      <c r="C94" s="222" t="s">
        <v>169</v>
      </c>
      <c r="D94" s="222" t="s">
        <v>170</v>
      </c>
      <c r="E94" s="222" t="s">
        <v>171</v>
      </c>
    </row>
    <row r="95" spans="1:5" ht="19.5" thickBot="1">
      <c r="A95" s="220">
        <v>1</v>
      </c>
      <c r="B95" s="143">
        <v>2</v>
      </c>
      <c r="C95" s="143">
        <v>3</v>
      </c>
      <c r="D95" s="143">
        <v>4</v>
      </c>
      <c r="E95" s="143">
        <v>5</v>
      </c>
    </row>
    <row r="96" spans="1:5" ht="19.5" thickBot="1">
      <c r="A96" s="220"/>
      <c r="B96" s="143" t="s">
        <v>342</v>
      </c>
      <c r="C96" s="92">
        <v>4</v>
      </c>
      <c r="D96" s="92">
        <v>9500</v>
      </c>
      <c r="E96" s="92">
        <f>C96*D96</f>
        <v>38000</v>
      </c>
    </row>
    <row r="97" spans="1:5" ht="19.5" thickBot="1">
      <c r="A97" s="220"/>
      <c r="B97" s="114" t="s">
        <v>138</v>
      </c>
      <c r="C97" s="115">
        <f>C96</f>
        <v>4</v>
      </c>
      <c r="D97" s="115">
        <f>D96</f>
        <v>9500</v>
      </c>
      <c r="E97" s="115">
        <f>E96</f>
        <v>38000</v>
      </c>
    </row>
    <row r="99" spans="1:6" ht="18.75">
      <c r="A99" s="307" t="s">
        <v>303</v>
      </c>
      <c r="B99" s="307"/>
      <c r="C99" s="307"/>
      <c r="D99" s="307"/>
      <c r="E99" s="307"/>
      <c r="F99" s="307"/>
    </row>
    <row r="100" ht="15.75" thickBot="1"/>
    <row r="101" spans="1:7" ht="57" thickBot="1">
      <c r="A101" s="91" t="s">
        <v>0</v>
      </c>
      <c r="B101" s="222" t="s">
        <v>1</v>
      </c>
      <c r="C101" s="222" t="s">
        <v>295</v>
      </c>
      <c r="D101" s="222" t="s">
        <v>291</v>
      </c>
      <c r="E101" s="222" t="s">
        <v>173</v>
      </c>
      <c r="F101" s="222" t="s">
        <v>174</v>
      </c>
      <c r="G101" s="222" t="s">
        <v>297</v>
      </c>
    </row>
    <row r="102" spans="1:9" ht="19.5" thickBot="1">
      <c r="A102" s="220">
        <v>1</v>
      </c>
      <c r="B102" s="143">
        <v>2</v>
      </c>
      <c r="C102" s="143">
        <v>3</v>
      </c>
      <c r="D102" s="143">
        <v>4</v>
      </c>
      <c r="E102" s="143">
        <v>5</v>
      </c>
      <c r="F102" s="143">
        <v>6</v>
      </c>
      <c r="G102" s="143">
        <v>7</v>
      </c>
      <c r="H102" s="174"/>
      <c r="I102" s="174"/>
    </row>
    <row r="103" spans="1:9" ht="47.25" customHeight="1" thickBot="1">
      <c r="A103" s="220">
        <v>1</v>
      </c>
      <c r="B103" s="220" t="s">
        <v>259</v>
      </c>
      <c r="C103" s="92" t="s">
        <v>296</v>
      </c>
      <c r="D103" s="92">
        <v>355.2</v>
      </c>
      <c r="E103" s="92">
        <f>('[1]мой для учреждений'!$E$90/'[1]мой для учреждений'!$D$90)*1000</f>
        <v>6194.2179379228255</v>
      </c>
      <c r="F103" s="143"/>
      <c r="G103" s="102">
        <f>2168.20115*1000</f>
        <v>2168201.15</v>
      </c>
      <c r="H103" s="174">
        <f>'[1]мой для учреждений'!$E$90*1000</f>
        <v>2133350.6</v>
      </c>
      <c r="I103" s="175">
        <f aca="true" t="shared" si="1" ref="I103:I109">G103-H103</f>
        <v>34850.549999999814</v>
      </c>
    </row>
    <row r="104" spans="1:9" ht="47.25" customHeight="1" thickBot="1">
      <c r="A104" s="220">
        <v>2</v>
      </c>
      <c r="B104" s="220" t="s">
        <v>260</v>
      </c>
      <c r="C104" s="92" t="s">
        <v>296</v>
      </c>
      <c r="D104" s="92">
        <v>97.92</v>
      </c>
      <c r="E104" s="92">
        <f>('[1]мой для учреждений'!$I$90/'[1]мой для учреждений'!$H$90)*1000</f>
        <v>6225.295637521064</v>
      </c>
      <c r="F104" s="143"/>
      <c r="G104" s="102">
        <f>600.01867*1000</f>
        <v>600018.67</v>
      </c>
      <c r="H104" s="174">
        <f>'[1]мой для учреждений'!$I$90*1000</f>
        <v>664986.08</v>
      </c>
      <c r="I104" s="175">
        <f t="shared" si="1"/>
        <v>-64967.409999999916</v>
      </c>
    </row>
    <row r="105" spans="1:9" ht="47.25" customHeight="1" thickBot="1">
      <c r="A105" s="220">
        <v>3</v>
      </c>
      <c r="B105" s="220" t="s">
        <v>261</v>
      </c>
      <c r="C105" s="92" t="s">
        <v>324</v>
      </c>
      <c r="D105" s="92">
        <f>40.258*1000</f>
        <v>40258</v>
      </c>
      <c r="E105" s="92">
        <f>('[1]мой для учреждений'!$M$90/'[1]мой для учреждений'!$L$90)</f>
        <v>7.169591896367001</v>
      </c>
      <c r="F105" s="143"/>
      <c r="G105" s="102">
        <f>192.89364*1000</f>
        <v>192893.64</v>
      </c>
      <c r="H105" s="174">
        <f>'[1]мой для учреждений'!$M$90*1000</f>
        <v>294440.80000000005</v>
      </c>
      <c r="I105" s="175">
        <f t="shared" si="1"/>
        <v>-101547.16000000003</v>
      </c>
    </row>
    <row r="106" spans="1:9" ht="47.25" customHeight="1" thickBot="1">
      <c r="A106" s="220">
        <v>4</v>
      </c>
      <c r="B106" s="220" t="s">
        <v>262</v>
      </c>
      <c r="C106" s="92" t="s">
        <v>311</v>
      </c>
      <c r="D106" s="92">
        <v>2232</v>
      </c>
      <c r="E106" s="92">
        <f>('[1]мой для учреждений'!$Q$90/'[1]мой для учреждений'!$P$90)*1000</f>
        <v>56.51198924731183</v>
      </c>
      <c r="F106" s="143"/>
      <c r="G106" s="102">
        <f>118.99844*1000</f>
        <v>118998.44</v>
      </c>
      <c r="H106" s="174">
        <f>'[1]мой для учреждений'!$Q$90*1000</f>
        <v>126134.76</v>
      </c>
      <c r="I106" s="175">
        <f t="shared" si="1"/>
        <v>-7136.319999999992</v>
      </c>
    </row>
    <row r="107" spans="1:9" ht="47.25" customHeight="1" thickBot="1">
      <c r="A107" s="220">
        <v>5</v>
      </c>
      <c r="B107" s="220" t="s">
        <v>263</v>
      </c>
      <c r="C107" s="92" t="s">
        <v>311</v>
      </c>
      <c r="D107" s="92">
        <v>3221.13</v>
      </c>
      <c r="E107" s="92">
        <f>('[1]мой для учреждений'!$Y$90/'[1]мой для учреждений'!$X$90)*1000</f>
        <v>45.253488818113304</v>
      </c>
      <c r="F107" s="143"/>
      <c r="G107" s="102">
        <f>128.43838*1000</f>
        <v>128438.37999999999</v>
      </c>
      <c r="H107" s="174">
        <f>'[1]мой для учреждений'!$Y$90*1000</f>
        <v>149831.36</v>
      </c>
      <c r="I107" s="175">
        <f t="shared" si="1"/>
        <v>-21392.979999999996</v>
      </c>
    </row>
    <row r="108" spans="1:9" ht="47.25" customHeight="1" thickBot="1">
      <c r="A108" s="220">
        <v>6</v>
      </c>
      <c r="B108" s="220" t="s">
        <v>264</v>
      </c>
      <c r="C108" s="92" t="s">
        <v>311</v>
      </c>
      <c r="D108" s="92">
        <v>989.127</v>
      </c>
      <c r="E108" s="92">
        <f>('[1]мой для учреждений'!$U$90/'[1]мой для учреждений'!$T$90)*1000</f>
        <v>56.564667936437324</v>
      </c>
      <c r="F108" s="143"/>
      <c r="G108" s="102">
        <f>52.54568*1000</f>
        <v>52545.68</v>
      </c>
      <c r="H108" s="174">
        <f>'[1]мой для учреждений'!$U$90*1000</f>
        <v>61029.6</v>
      </c>
      <c r="I108" s="175">
        <f t="shared" si="1"/>
        <v>-8483.919999999998</v>
      </c>
    </row>
    <row r="109" spans="1:9" ht="19.5" thickBot="1">
      <c r="A109" s="220"/>
      <c r="B109" s="108" t="s">
        <v>138</v>
      </c>
      <c r="C109" s="66" t="s">
        <v>139</v>
      </c>
      <c r="D109" s="66" t="s">
        <v>139</v>
      </c>
      <c r="E109" s="66" t="s">
        <v>139</v>
      </c>
      <c r="F109" s="66" t="s">
        <v>139</v>
      </c>
      <c r="G109" s="113">
        <f>G108+G107+G106+G105+G104+G103</f>
        <v>3261095.96</v>
      </c>
      <c r="H109" s="174">
        <f>'[1]мой для учреждений'!$Z$90*1000</f>
        <v>3429773.2</v>
      </c>
      <c r="I109" s="175">
        <f t="shared" si="1"/>
        <v>-168677.24000000022</v>
      </c>
    </row>
    <row r="110" spans="8:9" ht="15">
      <c r="H110" s="174"/>
      <c r="I110" s="174"/>
    </row>
    <row r="111" spans="1:6" ht="18.75">
      <c r="A111" s="307" t="s">
        <v>304</v>
      </c>
      <c r="B111" s="307"/>
      <c r="C111" s="307"/>
      <c r="D111" s="307"/>
      <c r="E111" s="307"/>
      <c r="F111" s="101"/>
    </row>
    <row r="112" ht="15.75" thickBot="1"/>
    <row r="113" spans="1:5" ht="57" thickBot="1">
      <c r="A113" s="91" t="s">
        <v>0</v>
      </c>
      <c r="B113" s="222" t="s">
        <v>1</v>
      </c>
      <c r="C113" s="222" t="s">
        <v>176</v>
      </c>
      <c r="D113" s="222" t="s">
        <v>177</v>
      </c>
      <c r="E113" s="222" t="s">
        <v>178</v>
      </c>
    </row>
    <row r="114" spans="1:5" ht="19.5" thickBot="1">
      <c r="A114" s="220">
        <v>1</v>
      </c>
      <c r="B114" s="143">
        <v>2</v>
      </c>
      <c r="C114" s="143">
        <v>3</v>
      </c>
      <c r="D114" s="143">
        <v>4</v>
      </c>
      <c r="E114" s="143">
        <v>5</v>
      </c>
    </row>
    <row r="115" spans="1:5" ht="19.5" thickBot="1">
      <c r="A115" s="220"/>
      <c r="B115" s="143"/>
      <c r="C115" s="143"/>
      <c r="D115" s="143"/>
      <c r="E115" s="143"/>
    </row>
    <row r="116" spans="1:5" ht="19.5" thickBot="1">
      <c r="A116" s="220"/>
      <c r="B116" s="93" t="s">
        <v>138</v>
      </c>
      <c r="C116" s="143" t="s">
        <v>139</v>
      </c>
      <c r="D116" s="143" t="s">
        <v>139</v>
      </c>
      <c r="E116" s="143" t="s">
        <v>139</v>
      </c>
    </row>
    <row r="118" spans="1:5" ht="39.75" customHeight="1">
      <c r="A118" s="304" t="s">
        <v>305</v>
      </c>
      <c r="B118" s="304"/>
      <c r="C118" s="304"/>
      <c r="D118" s="304"/>
      <c r="E118" s="304"/>
    </row>
    <row r="119" ht="19.5" thickBot="1">
      <c r="A119" s="98"/>
    </row>
    <row r="120" spans="1:5" ht="57" thickBot="1">
      <c r="A120" s="91" t="s">
        <v>0</v>
      </c>
      <c r="B120" s="222" t="s">
        <v>140</v>
      </c>
      <c r="C120" s="222" t="s">
        <v>179</v>
      </c>
      <c r="D120" s="222" t="s">
        <v>180</v>
      </c>
      <c r="E120" s="222" t="s">
        <v>181</v>
      </c>
    </row>
    <row r="121" spans="1:5" ht="19.5" thickBot="1">
      <c r="A121" s="220">
        <v>1</v>
      </c>
      <c r="B121" s="143">
        <v>2</v>
      </c>
      <c r="C121" s="143">
        <v>3</v>
      </c>
      <c r="D121" s="143">
        <v>4</v>
      </c>
      <c r="E121" s="143">
        <v>5</v>
      </c>
    </row>
    <row r="122" spans="1:5" ht="19.5" thickBot="1">
      <c r="A122" s="220">
        <v>1</v>
      </c>
      <c r="B122" s="103" t="s">
        <v>267</v>
      </c>
      <c r="C122" s="143"/>
      <c r="D122" s="143">
        <v>12</v>
      </c>
      <c r="E122" s="111">
        <v>9600</v>
      </c>
    </row>
    <row r="123" spans="1:5" ht="38.25" thickBot="1">
      <c r="A123" s="220">
        <v>2</v>
      </c>
      <c r="B123" s="103" t="s">
        <v>354</v>
      </c>
      <c r="C123" s="143"/>
      <c r="D123" s="143">
        <v>12</v>
      </c>
      <c r="E123" s="111">
        <v>72000</v>
      </c>
    </row>
    <row r="124" spans="1:5" ht="38.25" thickBot="1">
      <c r="A124" s="220">
        <v>3</v>
      </c>
      <c r="B124" s="103" t="s">
        <v>339</v>
      </c>
      <c r="C124" s="143"/>
      <c r="D124" s="143">
        <v>12</v>
      </c>
      <c r="E124" s="111">
        <v>72000</v>
      </c>
    </row>
    <row r="125" spans="1:5" ht="57" thickBot="1">
      <c r="A125" s="220">
        <v>4</v>
      </c>
      <c r="B125" s="103" t="s">
        <v>355</v>
      </c>
      <c r="C125" s="143"/>
      <c r="D125" s="143">
        <v>12</v>
      </c>
      <c r="E125" s="111">
        <v>120000</v>
      </c>
    </row>
    <row r="126" spans="1:5" ht="24.75" customHeight="1" thickBot="1">
      <c r="A126" s="220">
        <v>5</v>
      </c>
      <c r="B126" s="103" t="s">
        <v>356</v>
      </c>
      <c r="C126" s="143"/>
      <c r="D126" s="143">
        <v>12</v>
      </c>
      <c r="E126" s="111">
        <v>94000</v>
      </c>
    </row>
    <row r="127" spans="1:5" ht="94.5" thickBot="1">
      <c r="A127" s="220">
        <v>6</v>
      </c>
      <c r="B127" s="103" t="s">
        <v>357</v>
      </c>
      <c r="C127" s="143"/>
      <c r="D127" s="143">
        <v>12</v>
      </c>
      <c r="E127" s="111">
        <v>36000</v>
      </c>
    </row>
    <row r="128" spans="1:5" ht="19.5" thickBot="1">
      <c r="A128" s="220">
        <v>7</v>
      </c>
      <c r="B128" s="103" t="s">
        <v>272</v>
      </c>
      <c r="C128" s="143"/>
      <c r="D128" s="143">
        <v>6</v>
      </c>
      <c r="E128" s="111">
        <v>310000</v>
      </c>
    </row>
    <row r="129" spans="1:5" ht="75.75" thickBot="1">
      <c r="A129" s="220">
        <v>8</v>
      </c>
      <c r="B129" s="103" t="s">
        <v>340</v>
      </c>
      <c r="C129" s="143"/>
      <c r="D129" s="143">
        <v>4</v>
      </c>
      <c r="E129" s="111">
        <v>8000</v>
      </c>
    </row>
    <row r="130" spans="1:5" ht="57" thickBot="1">
      <c r="A130" s="220">
        <v>9</v>
      </c>
      <c r="B130" s="103" t="s">
        <v>318</v>
      </c>
      <c r="C130" s="143"/>
      <c r="D130" s="143"/>
      <c r="E130" s="111">
        <v>91000</v>
      </c>
    </row>
    <row r="131" spans="1:5" ht="19.5" thickBot="1">
      <c r="A131" s="220">
        <v>10</v>
      </c>
      <c r="B131" s="103" t="s">
        <v>319</v>
      </c>
      <c r="C131" s="143"/>
      <c r="D131" s="143"/>
      <c r="E131" s="111">
        <v>30000</v>
      </c>
    </row>
    <row r="132" spans="1:5" ht="38.25" thickBot="1">
      <c r="A132" s="220">
        <v>11</v>
      </c>
      <c r="B132" s="103" t="s">
        <v>274</v>
      </c>
      <c r="C132" s="143"/>
      <c r="D132" s="143"/>
      <c r="E132" s="111">
        <v>30000</v>
      </c>
    </row>
    <row r="133" spans="1:5" ht="60.75" customHeight="1" thickBot="1">
      <c r="A133" s="220">
        <v>12</v>
      </c>
      <c r="B133" s="103" t="s">
        <v>358</v>
      </c>
      <c r="C133" s="143"/>
      <c r="D133" s="143"/>
      <c r="E133" s="111">
        <v>40000</v>
      </c>
    </row>
    <row r="134" spans="1:5" ht="38.25" thickBot="1">
      <c r="A134" s="220">
        <v>13</v>
      </c>
      <c r="B134" s="103" t="s">
        <v>359</v>
      </c>
      <c r="C134" s="143"/>
      <c r="D134" s="143"/>
      <c r="E134" s="111">
        <v>36000</v>
      </c>
    </row>
    <row r="135" spans="1:5" ht="38.25" thickBot="1">
      <c r="A135" s="220">
        <v>14</v>
      </c>
      <c r="B135" s="103" t="s">
        <v>378</v>
      </c>
      <c r="C135" s="143"/>
      <c r="D135" s="143"/>
      <c r="E135" s="111">
        <v>300000</v>
      </c>
    </row>
    <row r="136" spans="1:5" ht="38.25" thickBot="1">
      <c r="A136" s="220">
        <v>15</v>
      </c>
      <c r="B136" s="103" t="s">
        <v>379</v>
      </c>
      <c r="C136" s="143"/>
      <c r="D136" s="143"/>
      <c r="E136" s="111">
        <v>49222.24</v>
      </c>
    </row>
    <row r="137" spans="1:12" ht="19.5" thickBot="1">
      <c r="A137" s="220"/>
      <c r="B137" s="108" t="s">
        <v>138</v>
      </c>
      <c r="C137" s="66" t="s">
        <v>139</v>
      </c>
      <c r="D137" s="66" t="s">
        <v>139</v>
      </c>
      <c r="E137" s="112">
        <f>SUM(E122:E136)</f>
        <v>1297822.24</v>
      </c>
      <c r="F137" s="176">
        <f>'[2]дс 56'!$R$36-'[2]дс 56'!$R$9-'[2]дс 56'!$R$7-'[2]дс 56'!$R$6</f>
        <v>948600</v>
      </c>
      <c r="G137" s="175">
        <f>F137-E137</f>
        <v>-349222.24</v>
      </c>
      <c r="L137" s="175">
        <f>E137+E97+F90+F43</f>
        <v>1361982.24</v>
      </c>
    </row>
    <row r="139" spans="1:5" ht="37.5" customHeight="1">
      <c r="A139" s="304" t="s">
        <v>306</v>
      </c>
      <c r="B139" s="304"/>
      <c r="C139" s="304"/>
      <c r="D139" s="304"/>
      <c r="E139" s="304"/>
    </row>
    <row r="140" ht="19.5" thickBot="1">
      <c r="A140" s="98"/>
    </row>
    <row r="141" spans="1:4" ht="38.25" thickBot="1">
      <c r="A141" s="91" t="s">
        <v>0</v>
      </c>
      <c r="B141" s="222" t="s">
        <v>140</v>
      </c>
      <c r="C141" s="222" t="s">
        <v>182</v>
      </c>
      <c r="D141" s="222" t="s">
        <v>183</v>
      </c>
    </row>
    <row r="142" spans="1:4" ht="19.5" thickBot="1">
      <c r="A142" s="220">
        <v>1</v>
      </c>
      <c r="B142" s="143">
        <v>2</v>
      </c>
      <c r="C142" s="143">
        <v>3</v>
      </c>
      <c r="D142" s="143">
        <v>4</v>
      </c>
    </row>
    <row r="143" spans="1:4" ht="24.75" customHeight="1" thickBot="1">
      <c r="A143" s="220">
        <v>1</v>
      </c>
      <c r="B143" s="103" t="s">
        <v>276</v>
      </c>
      <c r="C143" s="143">
        <v>1</v>
      </c>
      <c r="D143" s="111">
        <v>96000</v>
      </c>
    </row>
    <row r="144" spans="1:4" ht="24.75" customHeight="1" thickBot="1">
      <c r="A144" s="220">
        <v>2</v>
      </c>
      <c r="B144" s="103" t="s">
        <v>360</v>
      </c>
      <c r="C144" s="143">
        <v>1</v>
      </c>
      <c r="D144" s="111">
        <v>90000</v>
      </c>
    </row>
    <row r="145" spans="1:4" ht="38.25" customHeight="1" thickBot="1">
      <c r="A145" s="220">
        <v>3</v>
      </c>
      <c r="B145" s="103" t="s">
        <v>361</v>
      </c>
      <c r="C145" s="143">
        <v>1</v>
      </c>
      <c r="D145" s="111">
        <v>120000</v>
      </c>
    </row>
    <row r="146" spans="1:4" ht="37.5" customHeight="1" thickBot="1">
      <c r="A146" s="220">
        <v>4</v>
      </c>
      <c r="B146" s="103" t="s">
        <v>362</v>
      </c>
      <c r="C146" s="143"/>
      <c r="D146" s="111">
        <v>36000</v>
      </c>
    </row>
    <row r="147" spans="1:4" ht="28.5" customHeight="1" thickBot="1">
      <c r="A147" s="220">
        <v>5</v>
      </c>
      <c r="B147" s="103" t="s">
        <v>279</v>
      </c>
      <c r="C147" s="143"/>
      <c r="D147" s="111">
        <v>146000</v>
      </c>
    </row>
    <row r="148" spans="1:4" ht="19.5" thickBot="1">
      <c r="A148" s="220">
        <v>6</v>
      </c>
      <c r="B148" s="103" t="s">
        <v>320</v>
      </c>
      <c r="C148" s="143"/>
      <c r="D148" s="111">
        <v>35000</v>
      </c>
    </row>
    <row r="149" spans="1:4" ht="28.5" customHeight="1" thickBot="1">
      <c r="A149" s="220">
        <v>7</v>
      </c>
      <c r="B149" s="103" t="s">
        <v>321</v>
      </c>
      <c r="C149" s="143"/>
      <c r="D149" s="111">
        <v>30000</v>
      </c>
    </row>
    <row r="150" spans="1:4" ht="19.5" thickBot="1">
      <c r="A150" s="220">
        <v>8</v>
      </c>
      <c r="B150" s="103" t="s">
        <v>322</v>
      </c>
      <c r="C150" s="143"/>
      <c r="D150" s="111">
        <v>90000</v>
      </c>
    </row>
    <row r="151" spans="1:4" ht="19.5" thickBot="1">
      <c r="A151" s="220"/>
      <c r="B151" s="108" t="s">
        <v>138</v>
      </c>
      <c r="C151" s="66" t="s">
        <v>139</v>
      </c>
      <c r="D151" s="112">
        <f>SUM(D143:D150)</f>
        <v>643000</v>
      </c>
    </row>
    <row r="153" spans="1:6" ht="51" customHeight="1">
      <c r="A153" s="304" t="s">
        <v>307</v>
      </c>
      <c r="B153" s="304"/>
      <c r="C153" s="304"/>
      <c r="D153" s="304"/>
      <c r="E153" s="304"/>
      <c r="F153" s="304"/>
    </row>
    <row r="154" ht="15.75" thickBot="1"/>
    <row r="155" spans="1:5" ht="57" thickBot="1">
      <c r="A155" s="91" t="s">
        <v>0</v>
      </c>
      <c r="B155" s="222" t="s">
        <v>140</v>
      </c>
      <c r="C155" s="222" t="s">
        <v>176</v>
      </c>
      <c r="D155" s="222" t="s">
        <v>184</v>
      </c>
      <c r="E155" s="222" t="s">
        <v>185</v>
      </c>
    </row>
    <row r="156" spans="1:5" ht="19.5" thickBot="1">
      <c r="A156" s="220"/>
      <c r="B156" s="143">
        <v>1</v>
      </c>
      <c r="C156" s="143">
        <v>2</v>
      </c>
      <c r="D156" s="143">
        <v>3</v>
      </c>
      <c r="E156" s="143">
        <v>4</v>
      </c>
    </row>
    <row r="157" spans="1:5" ht="54.75" customHeight="1" hidden="1" thickBot="1">
      <c r="A157" s="220">
        <v>1</v>
      </c>
      <c r="B157" s="103" t="s">
        <v>284</v>
      </c>
      <c r="C157" s="143"/>
      <c r="D157" s="111">
        <f>E157</f>
        <v>0</v>
      </c>
      <c r="E157" s="111">
        <v>0</v>
      </c>
    </row>
    <row r="158" spans="1:5" ht="102" customHeight="1" hidden="1" thickBot="1">
      <c r="A158" s="220">
        <v>2</v>
      </c>
      <c r="B158" s="103" t="s">
        <v>287</v>
      </c>
      <c r="C158" s="143"/>
      <c r="D158" s="111">
        <f>E158</f>
        <v>0</v>
      </c>
      <c r="E158" s="111">
        <v>0</v>
      </c>
    </row>
    <row r="159" spans="1:5" ht="50.25" customHeight="1" hidden="1" thickBot="1">
      <c r="A159" s="221"/>
      <c r="B159" s="110" t="s">
        <v>293</v>
      </c>
      <c r="C159" s="66"/>
      <c r="D159" s="112"/>
      <c r="E159" s="112">
        <f>E158+E157</f>
        <v>0</v>
      </c>
    </row>
    <row r="160" spans="1:14" ht="49.5" customHeight="1" thickBot="1">
      <c r="A160" s="220">
        <v>1</v>
      </c>
      <c r="B160" s="103" t="s">
        <v>285</v>
      </c>
      <c r="C160" s="143"/>
      <c r="D160" s="111">
        <f>E160</f>
        <v>88183.82999999999</v>
      </c>
      <c r="E160" s="111">
        <f>148183.83-E161</f>
        <v>88183.82999999999</v>
      </c>
      <c r="L160" s="175" t="e">
        <f>F43+F90+E137+D151+E157+E160+E161+E97+#REF!</f>
        <v>#REF!</v>
      </c>
      <c r="M160" s="174">
        <v>2449905.76</v>
      </c>
      <c r="N160" s="175" t="e">
        <f>L160-M160</f>
        <v>#REF!</v>
      </c>
    </row>
    <row r="161" spans="1:14" ht="49.5" customHeight="1" thickBot="1">
      <c r="A161" s="220">
        <v>2</v>
      </c>
      <c r="B161" s="103" t="s">
        <v>323</v>
      </c>
      <c r="C161" s="143"/>
      <c r="D161" s="111">
        <f>E161</f>
        <v>60000</v>
      </c>
      <c r="E161" s="111">
        <v>60000</v>
      </c>
      <c r="L161" s="202">
        <f>E158+E162</f>
        <v>932103</v>
      </c>
      <c r="M161" s="176">
        <v>932103</v>
      </c>
      <c r="N161" s="202">
        <f>L161-M161</f>
        <v>0</v>
      </c>
    </row>
    <row r="162" spans="1:5" ht="85.5" customHeight="1" thickBot="1">
      <c r="A162" s="220">
        <v>3</v>
      </c>
      <c r="B162" s="103" t="s">
        <v>286</v>
      </c>
      <c r="C162" s="143"/>
      <c r="D162" s="111">
        <f>E162</f>
        <v>932103</v>
      </c>
      <c r="E162" s="111">
        <v>932103</v>
      </c>
    </row>
    <row r="163" spans="1:5" ht="50.25" customHeight="1" thickBot="1">
      <c r="A163" s="221"/>
      <c r="B163" s="110" t="s">
        <v>294</v>
      </c>
      <c r="C163" s="66"/>
      <c r="D163" s="112"/>
      <c r="E163" s="112">
        <f>E162+E161+E160</f>
        <v>1080286.83</v>
      </c>
    </row>
    <row r="165" ht="30.75" customHeight="1">
      <c r="B165" s="235" t="s">
        <v>375</v>
      </c>
    </row>
    <row r="166" spans="1:15" ht="15.75">
      <c r="A166" s="225"/>
      <c r="B166" s="235" t="s">
        <v>381</v>
      </c>
      <c r="C166" s="225"/>
      <c r="D166" s="225"/>
      <c r="E166" s="225"/>
      <c r="F166" s="225"/>
      <c r="G166" s="225"/>
      <c r="H166" s="225"/>
      <c r="I166" s="225"/>
      <c r="J166" s="225"/>
      <c r="K166" s="225"/>
      <c r="L166" s="225"/>
      <c r="M166" s="225"/>
      <c r="N166" s="225"/>
      <c r="O166" s="225"/>
    </row>
    <row r="167" spans="1:15" ht="15">
      <c r="A167" s="225"/>
      <c r="B167" s="225"/>
      <c r="C167" s="225"/>
      <c r="D167" s="225"/>
      <c r="E167" s="225"/>
      <c r="F167" s="225"/>
      <c r="G167" s="225"/>
      <c r="H167" s="225"/>
      <c r="I167" s="225"/>
      <c r="J167" s="225"/>
      <c r="K167" s="225"/>
      <c r="L167" s="225"/>
      <c r="M167" s="225"/>
      <c r="N167" s="225"/>
      <c r="O167" s="225"/>
    </row>
    <row r="168" spans="1:15" ht="15">
      <c r="A168" s="225"/>
      <c r="B168" s="225"/>
      <c r="C168" s="225"/>
      <c r="D168" s="225"/>
      <c r="E168" s="225"/>
      <c r="F168" s="225"/>
      <c r="G168" s="225"/>
      <c r="H168" s="225"/>
      <c r="I168" s="225"/>
      <c r="J168" s="225"/>
      <c r="K168" s="225"/>
      <c r="L168" s="225"/>
      <c r="M168" s="225"/>
      <c r="N168" s="225"/>
      <c r="O168" s="225"/>
    </row>
    <row r="169" spans="1:15" ht="15">
      <c r="A169" s="225"/>
      <c r="B169" s="225"/>
      <c r="C169" s="225"/>
      <c r="D169" s="225"/>
      <c r="E169" s="237">
        <f>E163+D151+E137+G109+E97+F90+E78+D55+F43+J28</f>
        <v>50809614.00450401</v>
      </c>
      <c r="F169" s="225"/>
      <c r="G169" s="225"/>
      <c r="H169" s="225"/>
      <c r="I169" s="225"/>
      <c r="J169" s="225"/>
      <c r="K169" s="225"/>
      <c r="L169" s="225"/>
      <c r="M169" s="225"/>
      <c r="N169" s="225"/>
      <c r="O169" s="225"/>
    </row>
    <row r="170" spans="1:15" ht="15">
      <c r="A170" s="225"/>
      <c r="B170" s="225"/>
      <c r="C170" s="225"/>
      <c r="D170" s="225"/>
      <c r="E170" s="225"/>
      <c r="F170" s="225"/>
      <c r="G170" s="225"/>
      <c r="H170" s="225"/>
      <c r="I170" s="225"/>
      <c r="J170" s="225"/>
      <c r="K170" s="225"/>
      <c r="L170" s="225"/>
      <c r="M170" s="225"/>
      <c r="N170" s="225"/>
      <c r="O170" s="225"/>
    </row>
    <row r="171" spans="1:15" ht="15">
      <c r="A171" s="225"/>
      <c r="B171" s="225"/>
      <c r="C171" s="225"/>
      <c r="D171" s="225"/>
      <c r="E171" s="225"/>
      <c r="F171" s="225"/>
      <c r="G171" s="225"/>
      <c r="H171" s="225"/>
      <c r="I171" s="225"/>
      <c r="J171" s="225"/>
      <c r="K171" s="225"/>
      <c r="L171" s="225"/>
      <c r="M171" s="225"/>
      <c r="N171" s="225"/>
      <c r="O171" s="225"/>
    </row>
    <row r="172" spans="1:15" ht="15">
      <c r="A172" s="225"/>
      <c r="B172" s="225"/>
      <c r="C172" s="225"/>
      <c r="D172" s="225"/>
      <c r="E172" s="225"/>
      <c r="F172" s="225"/>
      <c r="G172" s="225"/>
      <c r="H172" s="225"/>
      <c r="I172" s="225"/>
      <c r="J172" s="225"/>
      <c r="K172" s="225"/>
      <c r="L172" s="225"/>
      <c r="M172" s="225"/>
      <c r="N172" s="225"/>
      <c r="O172" s="225"/>
    </row>
    <row r="173" spans="1:15" ht="15">
      <c r="A173" s="225"/>
      <c r="B173" s="225"/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</row>
    <row r="174" spans="1:15" ht="15">
      <c r="A174" s="225"/>
      <c r="B174" s="225"/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25"/>
    </row>
    <row r="175" spans="1:15" ht="15">
      <c r="A175" s="225"/>
      <c r="B175" s="225"/>
      <c r="C175" s="225"/>
      <c r="D175" s="225"/>
      <c r="E175" s="225"/>
      <c r="F175" s="225"/>
      <c r="G175" s="225"/>
      <c r="H175" s="225"/>
      <c r="I175" s="225"/>
      <c r="J175" s="225"/>
      <c r="K175" s="225"/>
      <c r="L175" s="225"/>
      <c r="M175" s="225"/>
      <c r="N175" s="225"/>
      <c r="O175" s="225"/>
    </row>
    <row r="176" spans="1:15" ht="15">
      <c r="A176" s="225"/>
      <c r="B176" s="225"/>
      <c r="C176" s="225"/>
      <c r="D176" s="225"/>
      <c r="E176" s="225"/>
      <c r="F176" s="225"/>
      <c r="G176" s="225"/>
      <c r="H176" s="225"/>
      <c r="I176" s="225"/>
      <c r="J176" s="225"/>
      <c r="K176" s="225"/>
      <c r="L176" s="225"/>
      <c r="M176" s="225"/>
      <c r="N176" s="225"/>
      <c r="O176" s="225"/>
    </row>
    <row r="177" spans="1:15" ht="15">
      <c r="A177" s="225"/>
      <c r="B177" s="225"/>
      <c r="C177" s="225"/>
      <c r="D177" s="225"/>
      <c r="E177" s="225"/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</row>
  </sheetData>
  <sheetProtection/>
  <mergeCells count="35">
    <mergeCell ref="A139:E139"/>
    <mergeCell ref="A153:F153"/>
    <mergeCell ref="A68:G68"/>
    <mergeCell ref="A72:G72"/>
    <mergeCell ref="A71:G71"/>
    <mergeCell ref="A92:F92"/>
    <mergeCell ref="A85:F85"/>
    <mergeCell ref="A80:E80"/>
    <mergeCell ref="I20:I22"/>
    <mergeCell ref="A99:F99"/>
    <mergeCell ref="A118:E118"/>
    <mergeCell ref="A111:E111"/>
    <mergeCell ref="D20:G20"/>
    <mergeCell ref="A60:F60"/>
    <mergeCell ref="A59:F59"/>
    <mergeCell ref="A57:F57"/>
    <mergeCell ref="A50:A51"/>
    <mergeCell ref="C50:C51"/>
    <mergeCell ref="A11:J11"/>
    <mergeCell ref="A13:J13"/>
    <mergeCell ref="A16:J16"/>
    <mergeCell ref="A15:J15"/>
    <mergeCell ref="A18:J18"/>
    <mergeCell ref="A31:F31"/>
    <mergeCell ref="J20:J22"/>
    <mergeCell ref="D21:D22"/>
    <mergeCell ref="E21:G21"/>
    <mergeCell ref="H20:H22"/>
    <mergeCell ref="D50:D51"/>
    <mergeCell ref="A38:F38"/>
    <mergeCell ref="A20:A22"/>
    <mergeCell ref="A45:E45"/>
    <mergeCell ref="C20:C22"/>
    <mergeCell ref="A28:B28"/>
    <mergeCell ref="B20:B22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60" r:id="rId1"/>
  <rowBreaks count="7" manualBreakCount="7">
    <brk id="30" max="9" man="1"/>
    <brk id="44" max="9" man="1"/>
    <brk id="56" max="9" man="1"/>
    <brk id="79" max="9" man="1"/>
    <brk id="98" max="9" man="1"/>
    <brk id="117" max="9" man="1"/>
    <brk id="13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168"/>
  <sheetViews>
    <sheetView view="pageBreakPreview" zoomScale="60" zoomScaleNormal="72" zoomScalePageLayoutView="0" workbookViewId="0" topLeftCell="A1">
      <selection activeCell="B168" sqref="B168"/>
    </sheetView>
  </sheetViews>
  <sheetFormatPr defaultColWidth="9.140625" defaultRowHeight="15"/>
  <cols>
    <col min="1" max="1" width="8.57421875" style="0" customWidth="1"/>
    <col min="2" max="2" width="30.140625" style="0" customWidth="1"/>
    <col min="3" max="3" width="16.421875" style="0" customWidth="1"/>
    <col min="4" max="4" width="17.140625" style="0" customWidth="1"/>
    <col min="5" max="5" width="19.8515625" style="0" customWidth="1"/>
    <col min="6" max="6" width="21.421875" style="0" customWidth="1"/>
    <col min="7" max="7" width="19.8515625" style="0" customWidth="1"/>
    <col min="8" max="8" width="15.421875" style="0" customWidth="1"/>
    <col min="9" max="9" width="15.00390625" style="0" customWidth="1"/>
    <col min="10" max="10" width="21.140625" style="0" customWidth="1"/>
    <col min="12" max="12" width="25.8515625" style="0" customWidth="1"/>
    <col min="13" max="13" width="18.7109375" style="0" customWidth="1"/>
    <col min="14" max="14" width="9.421875" style="0" bestFit="1" customWidth="1"/>
    <col min="18" max="19" width="13.421875" style="0" bestFit="1" customWidth="1"/>
  </cols>
  <sheetData>
    <row r="1" ht="18.75">
      <c r="J1" s="8" t="s">
        <v>118</v>
      </c>
    </row>
    <row r="2" ht="18.75">
      <c r="J2" s="8" t="s">
        <v>119</v>
      </c>
    </row>
    <row r="3" ht="16.5">
      <c r="J3" s="16" t="s">
        <v>120</v>
      </c>
    </row>
    <row r="4" ht="16.5">
      <c r="J4" s="16" t="s">
        <v>121</v>
      </c>
    </row>
    <row r="5" ht="16.5">
      <c r="J5" s="16" t="s">
        <v>122</v>
      </c>
    </row>
    <row r="6" ht="16.5">
      <c r="J6" s="16" t="s">
        <v>123</v>
      </c>
    </row>
    <row r="7" ht="16.5">
      <c r="J7" s="16" t="s">
        <v>124</v>
      </c>
    </row>
    <row r="8" ht="16.5">
      <c r="J8" s="16" t="s">
        <v>125</v>
      </c>
    </row>
    <row r="11" spans="1:10" ht="15" customHeight="1">
      <c r="A11" s="253" t="s">
        <v>337</v>
      </c>
      <c r="B11" s="253"/>
      <c r="C11" s="253"/>
      <c r="D11" s="253"/>
      <c r="E11" s="253"/>
      <c r="F11" s="253"/>
      <c r="G11" s="253"/>
      <c r="H11" s="253"/>
      <c r="I11" s="253"/>
      <c r="J11" s="253"/>
    </row>
    <row r="12" spans="1:10" ht="18.75">
      <c r="A12" s="87"/>
      <c r="B12" s="87"/>
      <c r="C12" s="140"/>
      <c r="D12" s="87"/>
      <c r="E12" s="87"/>
      <c r="F12" s="87"/>
      <c r="G12" s="87"/>
      <c r="H12" s="87"/>
      <c r="I12" s="87"/>
      <c r="J12" s="87"/>
    </row>
    <row r="13" spans="1:10" ht="18.75" hidden="1">
      <c r="A13" s="253" t="s">
        <v>126</v>
      </c>
      <c r="B13" s="253"/>
      <c r="C13" s="253"/>
      <c r="D13" s="253"/>
      <c r="E13" s="253"/>
      <c r="F13" s="253"/>
      <c r="G13" s="253"/>
      <c r="H13" s="253"/>
      <c r="I13" s="253"/>
      <c r="J13" s="253"/>
    </row>
    <row r="14" spans="1:10" ht="15" hidden="1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5" spans="1:10" ht="18.75" hidden="1">
      <c r="A15" s="315" t="s">
        <v>288</v>
      </c>
      <c r="B15" s="315"/>
      <c r="C15" s="315"/>
      <c r="D15" s="315"/>
      <c r="E15" s="315"/>
      <c r="F15" s="315"/>
      <c r="G15" s="315"/>
      <c r="H15" s="315"/>
      <c r="I15" s="315"/>
      <c r="J15" s="315"/>
    </row>
    <row r="16" spans="1:10" ht="21" customHeight="1" hidden="1">
      <c r="A16" s="315" t="s">
        <v>289</v>
      </c>
      <c r="B16" s="315"/>
      <c r="C16" s="315"/>
      <c r="D16" s="315"/>
      <c r="E16" s="315"/>
      <c r="F16" s="315"/>
      <c r="G16" s="315"/>
      <c r="H16" s="315"/>
      <c r="I16" s="315"/>
      <c r="J16" s="315"/>
    </row>
    <row r="17" ht="18.75" hidden="1">
      <c r="A17" s="17"/>
    </row>
    <row r="18" spans="1:10" ht="18.75" hidden="1">
      <c r="A18" s="253" t="s">
        <v>127</v>
      </c>
      <c r="B18" s="253"/>
      <c r="C18" s="253"/>
      <c r="D18" s="253"/>
      <c r="E18" s="253"/>
      <c r="F18" s="253"/>
      <c r="G18" s="253"/>
      <c r="H18" s="253"/>
      <c r="I18" s="253"/>
      <c r="J18" s="253"/>
    </row>
    <row r="19" ht="15" hidden="1">
      <c r="I19">
        <v>1.6</v>
      </c>
    </row>
    <row r="20" spans="1:10" ht="36" customHeight="1" hidden="1" thickBot="1">
      <c r="A20" s="263" t="s">
        <v>0</v>
      </c>
      <c r="B20" s="263" t="s">
        <v>128</v>
      </c>
      <c r="C20" s="263" t="s">
        <v>129</v>
      </c>
      <c r="D20" s="310" t="s">
        <v>130</v>
      </c>
      <c r="E20" s="311"/>
      <c r="F20" s="311"/>
      <c r="G20" s="312"/>
      <c r="H20" s="263" t="s">
        <v>131</v>
      </c>
      <c r="I20" s="263" t="s">
        <v>132</v>
      </c>
      <c r="J20" s="263" t="s">
        <v>133</v>
      </c>
    </row>
    <row r="21" spans="1:10" ht="19.5" hidden="1" thickBot="1">
      <c r="A21" s="300"/>
      <c r="B21" s="300"/>
      <c r="C21" s="300"/>
      <c r="D21" s="263" t="s">
        <v>134</v>
      </c>
      <c r="E21" s="310" t="s">
        <v>22</v>
      </c>
      <c r="F21" s="311"/>
      <c r="G21" s="312"/>
      <c r="H21" s="300"/>
      <c r="I21" s="300"/>
      <c r="J21" s="300"/>
    </row>
    <row r="22" spans="1:10" ht="109.5" customHeight="1" hidden="1" thickBot="1">
      <c r="A22" s="264"/>
      <c r="B22" s="264"/>
      <c r="C22" s="264"/>
      <c r="D22" s="264"/>
      <c r="E22" s="106" t="s">
        <v>135</v>
      </c>
      <c r="F22" s="106" t="s">
        <v>136</v>
      </c>
      <c r="G22" s="106" t="s">
        <v>137</v>
      </c>
      <c r="H22" s="264"/>
      <c r="I22" s="264"/>
      <c r="J22" s="264"/>
    </row>
    <row r="23" spans="1:10" ht="19.5" hidden="1" thickBot="1">
      <c r="A23" s="141">
        <v>1</v>
      </c>
      <c r="B23" s="106">
        <v>2</v>
      </c>
      <c r="C23" s="106">
        <v>3</v>
      </c>
      <c r="D23" s="106">
        <v>4</v>
      </c>
      <c r="E23" s="106">
        <v>5</v>
      </c>
      <c r="F23" s="106">
        <v>6</v>
      </c>
      <c r="G23" s="106">
        <v>7</v>
      </c>
      <c r="H23" s="106">
        <v>8</v>
      </c>
      <c r="I23" s="106">
        <v>9</v>
      </c>
      <c r="J23" s="106">
        <v>10</v>
      </c>
    </row>
    <row r="24" spans="1:13" ht="38.25" hidden="1" thickBot="1">
      <c r="A24" s="141"/>
      <c r="B24" s="141" t="s">
        <v>280</v>
      </c>
      <c r="C24" s="106"/>
      <c r="D24" s="15"/>
      <c r="E24" s="15"/>
      <c r="F24" s="15"/>
      <c r="G24" s="15"/>
      <c r="H24" s="15"/>
      <c r="I24" s="15"/>
      <c r="J24" s="15"/>
      <c r="L24" s="86"/>
      <c r="M24" s="86"/>
    </row>
    <row r="25" spans="1:13" ht="38.25" hidden="1" thickBot="1">
      <c r="A25" s="141"/>
      <c r="B25" s="141" t="s">
        <v>281</v>
      </c>
      <c r="C25" s="106"/>
      <c r="D25" s="15"/>
      <c r="E25" s="15"/>
      <c r="F25" s="15"/>
      <c r="G25" s="15"/>
      <c r="H25" s="85"/>
      <c r="I25" s="15"/>
      <c r="J25" s="15"/>
      <c r="L25" s="86"/>
      <c r="M25" s="86"/>
    </row>
    <row r="26" spans="1:12" ht="57" hidden="1" thickBot="1">
      <c r="A26" s="105"/>
      <c r="B26" s="141" t="s">
        <v>282</v>
      </c>
      <c r="C26" s="106"/>
      <c r="D26" s="15"/>
      <c r="E26" s="15"/>
      <c r="F26" s="15"/>
      <c r="G26" s="15"/>
      <c r="H26" s="15"/>
      <c r="I26" s="15"/>
      <c r="J26" s="15"/>
      <c r="L26" s="86"/>
    </row>
    <row r="27" spans="1:19" ht="38.25" hidden="1" thickBot="1">
      <c r="A27" s="105"/>
      <c r="B27" s="141" t="s">
        <v>283</v>
      </c>
      <c r="C27" s="106"/>
      <c r="D27" s="15"/>
      <c r="E27" s="58"/>
      <c r="F27" s="58"/>
      <c r="G27" s="15"/>
      <c r="H27" s="106"/>
      <c r="I27" s="15"/>
      <c r="J27" s="15"/>
      <c r="L27" s="86"/>
      <c r="M27" s="86"/>
      <c r="R27" s="86">
        <f>L27-J28</f>
        <v>0</v>
      </c>
      <c r="S27" s="107">
        <f>R27-259000-100000</f>
        <v>-359000</v>
      </c>
    </row>
    <row r="28" spans="1:12" ht="39.75" customHeight="1" hidden="1" thickBot="1">
      <c r="A28" s="313" t="s">
        <v>138</v>
      </c>
      <c r="B28" s="314"/>
      <c r="C28" s="116" t="s">
        <v>139</v>
      </c>
      <c r="D28" s="116"/>
      <c r="E28" s="116" t="s">
        <v>139</v>
      </c>
      <c r="F28" s="116" t="s">
        <v>139</v>
      </c>
      <c r="G28" s="116" t="s">
        <v>139</v>
      </c>
      <c r="H28" s="117" t="s">
        <v>139</v>
      </c>
      <c r="I28" s="116" t="s">
        <v>139</v>
      </c>
      <c r="J28" s="118">
        <f>SUM(J24:J27)</f>
        <v>0</v>
      </c>
      <c r="L28" s="86"/>
    </row>
    <row r="29" spans="12:13" ht="15" hidden="1">
      <c r="L29" s="88"/>
      <c r="M29" s="86"/>
    </row>
    <row r="30" spans="12:13" ht="15" hidden="1">
      <c r="L30" s="86"/>
      <c r="M30" s="86"/>
    </row>
    <row r="31" spans="1:12" s="89" customFormat="1" ht="38.25" customHeight="1" hidden="1">
      <c r="A31" s="304" t="s">
        <v>186</v>
      </c>
      <c r="B31" s="304"/>
      <c r="C31" s="304"/>
      <c r="D31" s="304"/>
      <c r="E31" s="304"/>
      <c r="F31" s="304"/>
      <c r="L31" s="90"/>
    </row>
    <row r="32" s="89" customFormat="1" ht="15" hidden="1">
      <c r="L32" s="90"/>
    </row>
    <row r="33" spans="1:12" s="89" customFormat="1" ht="123" customHeight="1" hidden="1" thickBot="1">
      <c r="A33" s="91" t="s">
        <v>0</v>
      </c>
      <c r="B33" s="144" t="s">
        <v>140</v>
      </c>
      <c r="C33" s="144" t="s">
        <v>141</v>
      </c>
      <c r="D33" s="144" t="s">
        <v>142</v>
      </c>
      <c r="E33" s="144" t="s">
        <v>143</v>
      </c>
      <c r="F33" s="144" t="s">
        <v>144</v>
      </c>
      <c r="L33" s="90"/>
    </row>
    <row r="34" spans="1:6" s="89" customFormat="1" ht="19.5" hidden="1" thickBot="1">
      <c r="A34" s="142">
        <v>1</v>
      </c>
      <c r="B34" s="143">
        <v>2</v>
      </c>
      <c r="C34" s="143">
        <v>3</v>
      </c>
      <c r="D34" s="143">
        <v>4</v>
      </c>
      <c r="E34" s="143">
        <v>5</v>
      </c>
      <c r="F34" s="143">
        <v>6</v>
      </c>
    </row>
    <row r="35" spans="1:6" s="89" customFormat="1" ht="19.5" hidden="1" thickBot="1">
      <c r="A35" s="142">
        <v>1</v>
      </c>
      <c r="B35" s="143"/>
      <c r="C35" s="92">
        <v>0</v>
      </c>
      <c r="D35" s="92">
        <v>0</v>
      </c>
      <c r="E35" s="92">
        <v>0</v>
      </c>
      <c r="F35" s="92">
        <f>C35*D35*E35</f>
        <v>0</v>
      </c>
    </row>
    <row r="36" spans="1:6" s="89" customFormat="1" ht="19.5" hidden="1" thickBot="1">
      <c r="A36" s="142"/>
      <c r="B36" s="108" t="s">
        <v>138</v>
      </c>
      <c r="C36" s="66" t="s">
        <v>139</v>
      </c>
      <c r="D36" s="66" t="s">
        <v>139</v>
      </c>
      <c r="E36" s="66" t="s">
        <v>139</v>
      </c>
      <c r="F36" s="109">
        <f>F35</f>
        <v>0</v>
      </c>
    </row>
    <row r="37" s="89" customFormat="1" ht="15" hidden="1"/>
    <row r="38" spans="1:6" s="89" customFormat="1" ht="18.75" hidden="1">
      <c r="A38" s="304" t="s">
        <v>187</v>
      </c>
      <c r="B38" s="304"/>
      <c r="C38" s="304"/>
      <c r="D38" s="304"/>
      <c r="E38" s="304"/>
      <c r="F38" s="304"/>
    </row>
    <row r="39" s="89" customFormat="1" ht="15" hidden="1"/>
    <row r="40" spans="1:6" s="89" customFormat="1" ht="124.5" customHeight="1" hidden="1" thickBot="1">
      <c r="A40" s="91" t="s">
        <v>0</v>
      </c>
      <c r="B40" s="144" t="s">
        <v>140</v>
      </c>
      <c r="C40" s="144" t="s">
        <v>145</v>
      </c>
      <c r="D40" s="144" t="s">
        <v>146</v>
      </c>
      <c r="E40" s="144" t="s">
        <v>147</v>
      </c>
      <c r="F40" s="144" t="s">
        <v>144</v>
      </c>
    </row>
    <row r="41" spans="1:6" s="89" customFormat="1" ht="19.5" hidden="1" thickBot="1">
      <c r="A41" s="142">
        <v>1</v>
      </c>
      <c r="B41" s="143">
        <v>2</v>
      </c>
      <c r="C41" s="143">
        <v>3</v>
      </c>
      <c r="D41" s="143">
        <v>4</v>
      </c>
      <c r="E41" s="143">
        <v>5</v>
      </c>
      <c r="F41" s="143">
        <v>6</v>
      </c>
    </row>
    <row r="42" spans="1:6" s="89" customFormat="1" ht="51.75" customHeight="1" hidden="1" thickBot="1">
      <c r="A42" s="142">
        <v>1</v>
      </c>
      <c r="B42" s="143" t="s">
        <v>265</v>
      </c>
      <c r="C42" s="143"/>
      <c r="D42" s="143"/>
      <c r="E42" s="92"/>
      <c r="F42" s="92">
        <f>C42*D42*E42</f>
        <v>0</v>
      </c>
    </row>
    <row r="43" spans="1:6" s="89" customFormat="1" ht="19.5" hidden="1" thickBot="1">
      <c r="A43" s="142"/>
      <c r="B43" s="108" t="s">
        <v>138</v>
      </c>
      <c r="C43" s="66" t="s">
        <v>139</v>
      </c>
      <c r="D43" s="66" t="s">
        <v>139</v>
      </c>
      <c r="E43" s="66" t="s">
        <v>139</v>
      </c>
      <c r="F43" s="112">
        <f>F42</f>
        <v>0</v>
      </c>
    </row>
    <row r="44" s="89" customFormat="1" ht="15" hidden="1"/>
    <row r="45" spans="1:5" s="89" customFormat="1" ht="80.25" customHeight="1" hidden="1">
      <c r="A45" s="304" t="s">
        <v>188</v>
      </c>
      <c r="B45" s="304"/>
      <c r="C45" s="304"/>
      <c r="D45" s="304"/>
      <c r="E45" s="304"/>
    </row>
    <row r="46" s="89" customFormat="1" ht="15" hidden="1"/>
    <row r="47" spans="1:4" s="89" customFormat="1" ht="144.75" customHeight="1" hidden="1" thickBot="1">
      <c r="A47" s="91" t="s">
        <v>0</v>
      </c>
      <c r="B47" s="144" t="s">
        <v>148</v>
      </c>
      <c r="C47" s="144" t="s">
        <v>149</v>
      </c>
      <c r="D47" s="144" t="s">
        <v>150</v>
      </c>
    </row>
    <row r="48" spans="1:4" s="89" customFormat="1" ht="19.5" hidden="1" thickBot="1">
      <c r="A48" s="142">
        <v>1</v>
      </c>
      <c r="B48" s="143">
        <v>2</v>
      </c>
      <c r="C48" s="143">
        <v>3</v>
      </c>
      <c r="D48" s="143">
        <v>4</v>
      </c>
    </row>
    <row r="49" spans="1:4" s="89" customFormat="1" ht="113.25" customHeight="1" hidden="1" thickBot="1">
      <c r="A49" s="142">
        <v>1</v>
      </c>
      <c r="B49" s="94" t="s">
        <v>151</v>
      </c>
      <c r="C49" s="143" t="s">
        <v>139</v>
      </c>
      <c r="D49" s="51"/>
    </row>
    <row r="50" spans="1:4" s="89" customFormat="1" ht="18.75" hidden="1">
      <c r="A50" s="282" t="s">
        <v>152</v>
      </c>
      <c r="B50" s="95" t="s">
        <v>22</v>
      </c>
      <c r="C50" s="282"/>
      <c r="D50" s="278"/>
    </row>
    <row r="51" spans="1:4" s="89" customFormat="1" ht="19.5" hidden="1" thickBot="1">
      <c r="A51" s="283"/>
      <c r="B51" s="96" t="s">
        <v>153</v>
      </c>
      <c r="C51" s="283"/>
      <c r="D51" s="279"/>
    </row>
    <row r="52" spans="1:4" s="89" customFormat="1" ht="19.5" hidden="1" thickBot="1">
      <c r="A52" s="142" t="s">
        <v>154</v>
      </c>
      <c r="B52" s="97" t="s">
        <v>155</v>
      </c>
      <c r="C52" s="143"/>
      <c r="D52" s="51"/>
    </row>
    <row r="53" spans="1:4" s="89" customFormat="1" ht="120.75" customHeight="1" hidden="1" thickBot="1">
      <c r="A53" s="142">
        <v>2</v>
      </c>
      <c r="B53" s="94" t="s">
        <v>156</v>
      </c>
      <c r="C53" s="143" t="s">
        <v>139</v>
      </c>
      <c r="D53" s="51"/>
    </row>
    <row r="54" spans="1:4" s="89" customFormat="1" ht="164.25" customHeight="1" hidden="1" thickBot="1">
      <c r="A54" s="142">
        <v>3</v>
      </c>
      <c r="B54" s="94" t="s">
        <v>157</v>
      </c>
      <c r="C54" s="51">
        <f>J28</f>
        <v>0</v>
      </c>
      <c r="D54" s="51">
        <f>C54*5.1%</f>
        <v>0</v>
      </c>
    </row>
    <row r="55" spans="1:4" s="89" customFormat="1" ht="19.5" hidden="1" thickBot="1">
      <c r="A55" s="142"/>
      <c r="B55" s="108" t="s">
        <v>138</v>
      </c>
      <c r="C55" s="66" t="s">
        <v>139</v>
      </c>
      <c r="D55" s="67">
        <f>D50+D53+D54</f>
        <v>0</v>
      </c>
    </row>
    <row r="56" s="89" customFormat="1" ht="15" hidden="1"/>
    <row r="57" spans="1:6" s="89" customFormat="1" ht="36" customHeight="1" hidden="1">
      <c r="A57" s="304" t="s">
        <v>189</v>
      </c>
      <c r="B57" s="304"/>
      <c r="C57" s="304"/>
      <c r="D57" s="304"/>
      <c r="E57" s="304"/>
      <c r="F57" s="304"/>
    </row>
    <row r="58" s="89" customFormat="1" ht="15" hidden="1"/>
    <row r="59" spans="1:6" s="89" customFormat="1" ht="18.75" hidden="1">
      <c r="A59" s="309" t="s">
        <v>190</v>
      </c>
      <c r="B59" s="309"/>
      <c r="C59" s="309"/>
      <c r="D59" s="309"/>
      <c r="E59" s="309"/>
      <c r="F59" s="309"/>
    </row>
    <row r="60" spans="1:6" s="89" customFormat="1" ht="18.75" hidden="1">
      <c r="A60" s="309" t="s">
        <v>191</v>
      </c>
      <c r="B60" s="309"/>
      <c r="C60" s="309"/>
      <c r="D60" s="309"/>
      <c r="E60" s="309"/>
      <c r="F60" s="309"/>
    </row>
    <row r="61" s="89" customFormat="1" ht="18.75" hidden="1">
      <c r="A61" s="98"/>
    </row>
    <row r="62" spans="1:5" s="89" customFormat="1" ht="108" customHeight="1" hidden="1" thickBot="1">
      <c r="A62" s="91" t="s">
        <v>0</v>
      </c>
      <c r="B62" s="144" t="s">
        <v>1</v>
      </c>
      <c r="C62" s="144" t="s">
        <v>158</v>
      </c>
      <c r="D62" s="144" t="s">
        <v>159</v>
      </c>
      <c r="E62" s="144" t="s">
        <v>160</v>
      </c>
    </row>
    <row r="63" spans="1:5" s="89" customFormat="1" ht="19.5" hidden="1" thickBot="1">
      <c r="A63" s="142">
        <v>1</v>
      </c>
      <c r="B63" s="143">
        <v>2</v>
      </c>
      <c r="C63" s="143">
        <v>3</v>
      </c>
      <c r="D63" s="143">
        <v>4</v>
      </c>
      <c r="E63" s="143">
        <v>5</v>
      </c>
    </row>
    <row r="64" spans="1:5" s="89" customFormat="1" ht="19.5" hidden="1" thickBot="1">
      <c r="A64" s="142"/>
      <c r="B64" s="143"/>
      <c r="C64" s="143"/>
      <c r="D64" s="143"/>
      <c r="E64" s="143"/>
    </row>
    <row r="65" spans="1:5" s="89" customFormat="1" ht="19.5" hidden="1" thickBot="1">
      <c r="A65" s="142"/>
      <c r="B65" s="108" t="s">
        <v>138</v>
      </c>
      <c r="C65" s="66" t="s">
        <v>139</v>
      </c>
      <c r="D65" s="66" t="s">
        <v>139</v>
      </c>
      <c r="E65" s="66"/>
    </row>
    <row r="66" s="89" customFormat="1" ht="15" hidden="1"/>
    <row r="67" s="89" customFormat="1" ht="15" hidden="1"/>
    <row r="68" spans="1:7" s="89" customFormat="1" ht="18.75" hidden="1">
      <c r="A68" s="307" t="s">
        <v>192</v>
      </c>
      <c r="B68" s="307"/>
      <c r="C68" s="307"/>
      <c r="D68" s="307"/>
      <c r="E68" s="307"/>
      <c r="F68" s="307"/>
      <c r="G68" s="307"/>
    </row>
    <row r="69" s="89" customFormat="1" ht="18.75" hidden="1">
      <c r="A69" s="99"/>
    </row>
    <row r="70" s="89" customFormat="1" ht="18.75" hidden="1">
      <c r="A70" s="98"/>
    </row>
    <row r="71" spans="1:7" s="89" customFormat="1" ht="18.75" hidden="1">
      <c r="A71" s="309" t="s">
        <v>257</v>
      </c>
      <c r="B71" s="309"/>
      <c r="C71" s="309"/>
      <c r="D71" s="309"/>
      <c r="E71" s="309"/>
      <c r="F71" s="309"/>
      <c r="G71" s="309"/>
    </row>
    <row r="72" spans="1:7" s="89" customFormat="1" ht="18.75" hidden="1">
      <c r="A72" s="309" t="s">
        <v>256</v>
      </c>
      <c r="B72" s="309"/>
      <c r="C72" s="309"/>
      <c r="D72" s="309"/>
      <c r="E72" s="309"/>
      <c r="F72" s="309"/>
      <c r="G72" s="309"/>
    </row>
    <row r="73" s="89" customFormat="1" ht="18.75" hidden="1">
      <c r="A73" s="98"/>
    </row>
    <row r="74" spans="1:5" s="89" customFormat="1" ht="141.75" customHeight="1" hidden="1" thickBot="1">
      <c r="A74" s="91" t="s">
        <v>0</v>
      </c>
      <c r="B74" s="144" t="s">
        <v>140</v>
      </c>
      <c r="C74" s="144" t="s">
        <v>161</v>
      </c>
      <c r="D74" s="144" t="s">
        <v>162</v>
      </c>
      <c r="E74" s="144" t="s">
        <v>163</v>
      </c>
    </row>
    <row r="75" spans="1:5" s="89" customFormat="1" ht="19.5" hidden="1" thickBot="1">
      <c r="A75" s="142">
        <v>1</v>
      </c>
      <c r="B75" s="143">
        <v>2</v>
      </c>
      <c r="C75" s="143">
        <v>3</v>
      </c>
      <c r="D75" s="143">
        <v>4</v>
      </c>
      <c r="E75" s="143">
        <v>5</v>
      </c>
    </row>
    <row r="76" spans="1:8" s="89" customFormat="1" ht="19.5" hidden="1" thickBot="1">
      <c r="A76" s="142">
        <v>1</v>
      </c>
      <c r="B76" s="143" t="s">
        <v>254</v>
      </c>
      <c r="C76" s="111"/>
      <c r="D76" s="111"/>
      <c r="E76" s="111"/>
      <c r="H76" s="100"/>
    </row>
    <row r="77" spans="1:5" s="89" customFormat="1" ht="27" customHeight="1" hidden="1" thickBot="1">
      <c r="A77" s="142">
        <v>2</v>
      </c>
      <c r="B77" s="143" t="s">
        <v>255</v>
      </c>
      <c r="C77" s="111"/>
      <c r="D77" s="111"/>
      <c r="E77" s="111"/>
    </row>
    <row r="78" spans="1:5" s="89" customFormat="1" ht="19.5" hidden="1" thickBot="1">
      <c r="A78" s="142"/>
      <c r="B78" s="108" t="s">
        <v>138</v>
      </c>
      <c r="C78" s="112"/>
      <c r="D78" s="112" t="s">
        <v>139</v>
      </c>
      <c r="E78" s="112">
        <f>E77+E76</f>
        <v>0</v>
      </c>
    </row>
    <row r="79" s="89" customFormat="1" ht="15"/>
    <row r="80" spans="1:9" s="89" customFormat="1" ht="18.75">
      <c r="A80" s="307" t="s">
        <v>300</v>
      </c>
      <c r="B80" s="307"/>
      <c r="C80" s="307"/>
      <c r="D80" s="307"/>
      <c r="E80" s="307"/>
      <c r="F80" s="307"/>
      <c r="G80" s="307"/>
      <c r="H80" s="307"/>
      <c r="I80" s="307"/>
    </row>
    <row r="81" s="89" customFormat="1" ht="18.75">
      <c r="A81" s="99"/>
    </row>
    <row r="82" s="89" customFormat="1" ht="18.75">
      <c r="A82" s="101" t="s">
        <v>290</v>
      </c>
    </row>
    <row r="83" spans="1:7" s="89" customFormat="1" ht="17.25" customHeight="1">
      <c r="A83" s="146" t="s">
        <v>308</v>
      </c>
      <c r="B83" s="146"/>
      <c r="C83" s="146"/>
      <c r="D83" s="146"/>
      <c r="E83" s="146"/>
      <c r="F83" s="146"/>
      <c r="G83" s="146"/>
    </row>
    <row r="84" s="89" customFormat="1" ht="18.75" hidden="1">
      <c r="A84" s="101"/>
    </row>
    <row r="85" spans="1:6" s="89" customFormat="1" ht="18.75" hidden="1">
      <c r="A85" s="307" t="s">
        <v>164</v>
      </c>
      <c r="B85" s="307"/>
      <c r="C85" s="307"/>
      <c r="D85" s="307"/>
      <c r="E85" s="307"/>
      <c r="F85" s="307"/>
    </row>
    <row r="86" s="89" customFormat="1" ht="15" hidden="1"/>
    <row r="87" spans="1:6" s="89" customFormat="1" ht="57" hidden="1" thickBot="1">
      <c r="A87" s="91" t="s">
        <v>0</v>
      </c>
      <c r="B87" s="144" t="s">
        <v>140</v>
      </c>
      <c r="C87" s="144" t="s">
        <v>165</v>
      </c>
      <c r="D87" s="144" t="s">
        <v>166</v>
      </c>
      <c r="E87" s="144" t="s">
        <v>167</v>
      </c>
      <c r="F87" s="144" t="s">
        <v>144</v>
      </c>
    </row>
    <row r="88" spans="1:6" s="89" customFormat="1" ht="19.5" hidden="1" thickBot="1">
      <c r="A88" s="142">
        <v>1</v>
      </c>
      <c r="B88" s="143">
        <v>2</v>
      </c>
      <c r="C88" s="143">
        <v>3</v>
      </c>
      <c r="D88" s="143">
        <v>4</v>
      </c>
      <c r="E88" s="143">
        <v>5</v>
      </c>
      <c r="F88" s="143">
        <v>6</v>
      </c>
    </row>
    <row r="89" spans="1:6" s="89" customFormat="1" ht="38.25" hidden="1" thickBot="1">
      <c r="A89" s="142">
        <v>1</v>
      </c>
      <c r="B89" s="143" t="s">
        <v>258</v>
      </c>
      <c r="C89" s="143"/>
      <c r="D89" s="143"/>
      <c r="E89" s="111"/>
      <c r="F89" s="111">
        <f>C89*D89*E89</f>
        <v>0</v>
      </c>
    </row>
    <row r="90" spans="1:6" s="89" customFormat="1" ht="19.5" hidden="1" thickBot="1">
      <c r="A90" s="142"/>
      <c r="B90" s="108" t="s">
        <v>138</v>
      </c>
      <c r="C90" s="66" t="s">
        <v>139</v>
      </c>
      <c r="D90" s="66" t="s">
        <v>139</v>
      </c>
      <c r="E90" s="66" t="s">
        <v>139</v>
      </c>
      <c r="F90" s="112">
        <f>F89</f>
        <v>0</v>
      </c>
    </row>
    <row r="91" s="89" customFormat="1" ht="15" hidden="1"/>
    <row r="92" spans="1:6" s="89" customFormat="1" ht="30" customHeight="1" hidden="1">
      <c r="A92" s="307" t="s">
        <v>168</v>
      </c>
      <c r="B92" s="307"/>
      <c r="C92" s="307"/>
      <c r="D92" s="307"/>
      <c r="E92" s="307"/>
      <c r="F92" s="307"/>
    </row>
    <row r="93" s="89" customFormat="1" ht="15" hidden="1"/>
    <row r="94" spans="1:5" s="89" customFormat="1" ht="57" hidden="1" thickBot="1">
      <c r="A94" s="91" t="s">
        <v>0</v>
      </c>
      <c r="B94" s="144" t="s">
        <v>140</v>
      </c>
      <c r="C94" s="144" t="s">
        <v>169</v>
      </c>
      <c r="D94" s="144" t="s">
        <v>170</v>
      </c>
      <c r="E94" s="144" t="s">
        <v>171</v>
      </c>
    </row>
    <row r="95" spans="1:5" s="89" customFormat="1" ht="19.5" hidden="1" thickBot="1">
      <c r="A95" s="142">
        <v>1</v>
      </c>
      <c r="B95" s="143">
        <v>2</v>
      </c>
      <c r="C95" s="143">
        <v>3</v>
      </c>
      <c r="D95" s="143">
        <v>4</v>
      </c>
      <c r="E95" s="143">
        <v>5</v>
      </c>
    </row>
    <row r="96" spans="1:5" s="89" customFormat="1" ht="19.5" hidden="1" thickBot="1">
      <c r="A96" s="142"/>
      <c r="B96" s="143"/>
      <c r="C96" s="92">
        <v>0</v>
      </c>
      <c r="D96" s="92">
        <v>0</v>
      </c>
      <c r="E96" s="92">
        <f>C96*D96</f>
        <v>0</v>
      </c>
    </row>
    <row r="97" spans="1:5" s="89" customFormat="1" ht="19.5" hidden="1" thickBot="1">
      <c r="A97" s="142"/>
      <c r="B97" s="114" t="s">
        <v>138</v>
      </c>
      <c r="C97" s="115">
        <f>C96</f>
        <v>0</v>
      </c>
      <c r="D97" s="115">
        <f>D96</f>
        <v>0</v>
      </c>
      <c r="E97" s="115">
        <f>E96</f>
        <v>0</v>
      </c>
    </row>
    <row r="98" s="89" customFormat="1" ht="15" hidden="1"/>
    <row r="99" spans="1:6" s="89" customFormat="1" ht="18.75" hidden="1">
      <c r="A99" s="307" t="s">
        <v>172</v>
      </c>
      <c r="B99" s="307"/>
      <c r="C99" s="307"/>
      <c r="D99" s="307"/>
      <c r="E99" s="307"/>
      <c r="F99" s="307"/>
    </row>
    <row r="100" s="89" customFormat="1" ht="15" hidden="1"/>
    <row r="101" spans="1:7" s="89" customFormat="1" ht="57" hidden="1" thickBot="1">
      <c r="A101" s="91" t="s">
        <v>0</v>
      </c>
      <c r="B101" s="144" t="s">
        <v>1</v>
      </c>
      <c r="C101" s="144" t="s">
        <v>295</v>
      </c>
      <c r="D101" s="144" t="s">
        <v>291</v>
      </c>
      <c r="E101" s="144" t="s">
        <v>173</v>
      </c>
      <c r="F101" s="144" t="s">
        <v>174</v>
      </c>
      <c r="G101" s="144" t="s">
        <v>297</v>
      </c>
    </row>
    <row r="102" spans="1:7" s="89" customFormat="1" ht="19.5" hidden="1" thickBot="1">
      <c r="A102" s="142">
        <v>1</v>
      </c>
      <c r="B102" s="143">
        <v>2</v>
      </c>
      <c r="C102" s="143">
        <v>3</v>
      </c>
      <c r="D102" s="143">
        <v>4</v>
      </c>
      <c r="E102" s="143">
        <v>5</v>
      </c>
      <c r="F102" s="143">
        <v>6</v>
      </c>
      <c r="G102" s="143">
        <v>7</v>
      </c>
    </row>
    <row r="103" spans="1:7" s="89" customFormat="1" ht="47.25" customHeight="1" hidden="1" thickBot="1">
      <c r="A103" s="142">
        <v>1</v>
      </c>
      <c r="B103" s="142" t="s">
        <v>259</v>
      </c>
      <c r="C103" s="92" t="s">
        <v>296</v>
      </c>
      <c r="D103" s="92"/>
      <c r="E103" s="92"/>
      <c r="F103" s="143"/>
      <c r="G103" s="102"/>
    </row>
    <row r="104" spans="1:7" s="89" customFormat="1" ht="47.25" customHeight="1" hidden="1" thickBot="1">
      <c r="A104" s="142">
        <v>2</v>
      </c>
      <c r="B104" s="142" t="s">
        <v>260</v>
      </c>
      <c r="C104" s="92" t="s">
        <v>296</v>
      </c>
      <c r="D104" s="92"/>
      <c r="E104" s="92"/>
      <c r="F104" s="143"/>
      <c r="G104" s="102"/>
    </row>
    <row r="105" spans="1:7" s="89" customFormat="1" ht="47.25" customHeight="1" hidden="1" thickBot="1">
      <c r="A105" s="142">
        <v>3</v>
      </c>
      <c r="B105" s="142" t="s">
        <v>261</v>
      </c>
      <c r="C105" s="92" t="s">
        <v>298</v>
      </c>
      <c r="D105" s="92"/>
      <c r="E105" s="92"/>
      <c r="F105" s="143"/>
      <c r="G105" s="102"/>
    </row>
    <row r="106" spans="1:7" s="89" customFormat="1" ht="47.25" customHeight="1" hidden="1" thickBot="1">
      <c r="A106" s="142">
        <v>4</v>
      </c>
      <c r="B106" s="142" t="s">
        <v>262</v>
      </c>
      <c r="C106" s="92" t="s">
        <v>299</v>
      </c>
      <c r="D106" s="92"/>
      <c r="E106" s="92"/>
      <c r="F106" s="143"/>
      <c r="G106" s="102"/>
    </row>
    <row r="107" spans="1:7" s="89" customFormat="1" ht="47.25" customHeight="1" hidden="1" thickBot="1">
      <c r="A107" s="142">
        <v>5</v>
      </c>
      <c r="B107" s="142" t="s">
        <v>263</v>
      </c>
      <c r="C107" s="92" t="s">
        <v>299</v>
      </c>
      <c r="D107" s="92"/>
      <c r="E107" s="92"/>
      <c r="F107" s="143"/>
      <c r="G107" s="102"/>
    </row>
    <row r="108" spans="1:7" s="89" customFormat="1" ht="47.25" customHeight="1" hidden="1" thickBot="1">
      <c r="A108" s="142">
        <v>6</v>
      </c>
      <c r="B108" s="142" t="s">
        <v>264</v>
      </c>
      <c r="C108" s="92" t="s">
        <v>299</v>
      </c>
      <c r="D108" s="92"/>
      <c r="E108" s="92"/>
      <c r="F108" s="143"/>
      <c r="G108" s="102"/>
    </row>
    <row r="109" spans="1:7" s="89" customFormat="1" ht="19.5" hidden="1" thickBot="1">
      <c r="A109" s="142"/>
      <c r="B109" s="108" t="s">
        <v>138</v>
      </c>
      <c r="C109" s="66" t="s">
        <v>139</v>
      </c>
      <c r="D109" s="66" t="s">
        <v>139</v>
      </c>
      <c r="E109" s="66" t="s">
        <v>139</v>
      </c>
      <c r="F109" s="66" t="s">
        <v>139</v>
      </c>
      <c r="G109" s="113">
        <f>G108+G107+G106+G105+G104+G103</f>
        <v>0</v>
      </c>
    </row>
    <row r="110" s="89" customFormat="1" ht="15" hidden="1"/>
    <row r="111" spans="1:6" s="89" customFormat="1" ht="18.75" hidden="1">
      <c r="A111" s="307" t="s">
        <v>175</v>
      </c>
      <c r="B111" s="307"/>
      <c r="C111" s="307"/>
      <c r="D111" s="307"/>
      <c r="E111" s="307"/>
      <c r="F111" s="101"/>
    </row>
    <row r="112" s="89" customFormat="1" ht="15" hidden="1"/>
    <row r="113" spans="1:5" s="89" customFormat="1" ht="57" hidden="1" thickBot="1">
      <c r="A113" s="91" t="s">
        <v>0</v>
      </c>
      <c r="B113" s="144" t="s">
        <v>1</v>
      </c>
      <c r="C113" s="144" t="s">
        <v>176</v>
      </c>
      <c r="D113" s="144" t="s">
        <v>177</v>
      </c>
      <c r="E113" s="144" t="s">
        <v>178</v>
      </c>
    </row>
    <row r="114" spans="1:5" s="89" customFormat="1" ht="19.5" hidden="1" thickBot="1">
      <c r="A114" s="142">
        <v>1</v>
      </c>
      <c r="B114" s="143">
        <v>2</v>
      </c>
      <c r="C114" s="143">
        <v>3</v>
      </c>
      <c r="D114" s="143">
        <v>4</v>
      </c>
      <c r="E114" s="143">
        <v>5</v>
      </c>
    </row>
    <row r="115" spans="1:5" s="89" customFormat="1" ht="19.5" hidden="1" thickBot="1">
      <c r="A115" s="142"/>
      <c r="B115" s="143"/>
      <c r="C115" s="143"/>
      <c r="D115" s="143"/>
      <c r="E115" s="143"/>
    </row>
    <row r="116" spans="1:5" s="89" customFormat="1" ht="19.5" hidden="1" thickBot="1">
      <c r="A116" s="142"/>
      <c r="B116" s="93" t="s">
        <v>138</v>
      </c>
      <c r="C116" s="143" t="s">
        <v>139</v>
      </c>
      <c r="D116" s="143" t="s">
        <v>139</v>
      </c>
      <c r="E116" s="143" t="s">
        <v>139</v>
      </c>
    </row>
    <row r="117" s="89" customFormat="1" ht="15" hidden="1"/>
    <row r="118" spans="1:5" s="89" customFormat="1" ht="39.75" customHeight="1" hidden="1">
      <c r="A118" s="304" t="s">
        <v>193</v>
      </c>
      <c r="B118" s="304"/>
      <c r="C118" s="304"/>
      <c r="D118" s="304"/>
      <c r="E118" s="304"/>
    </row>
    <row r="119" s="89" customFormat="1" ht="18.75" hidden="1">
      <c r="A119" s="98"/>
    </row>
    <row r="120" spans="1:5" s="89" customFormat="1" ht="57" hidden="1" thickBot="1">
      <c r="A120" s="91" t="s">
        <v>0</v>
      </c>
      <c r="B120" s="144" t="s">
        <v>140</v>
      </c>
      <c r="C120" s="144" t="s">
        <v>179</v>
      </c>
      <c r="D120" s="144" t="s">
        <v>180</v>
      </c>
      <c r="E120" s="144" t="s">
        <v>181</v>
      </c>
    </row>
    <row r="121" spans="1:5" s="89" customFormat="1" ht="19.5" hidden="1" thickBot="1">
      <c r="A121" s="142">
        <v>1</v>
      </c>
      <c r="B121" s="143">
        <v>2</v>
      </c>
      <c r="C121" s="143">
        <v>3</v>
      </c>
      <c r="D121" s="143">
        <v>4</v>
      </c>
      <c r="E121" s="143">
        <v>5</v>
      </c>
    </row>
    <row r="122" spans="1:5" s="89" customFormat="1" ht="19.5" hidden="1" thickBot="1">
      <c r="A122" s="142">
        <v>1</v>
      </c>
      <c r="B122" s="103" t="s">
        <v>266</v>
      </c>
      <c r="C122" s="143"/>
      <c r="D122" s="143"/>
      <c r="E122" s="111"/>
    </row>
    <row r="123" spans="1:5" s="89" customFormat="1" ht="19.5" hidden="1" thickBot="1">
      <c r="A123" s="142">
        <v>2</v>
      </c>
      <c r="B123" s="103" t="s">
        <v>267</v>
      </c>
      <c r="C123" s="143"/>
      <c r="D123" s="143"/>
      <c r="E123" s="111"/>
    </row>
    <row r="124" spans="1:5" s="89" customFormat="1" ht="19.5" hidden="1" thickBot="1">
      <c r="A124" s="142">
        <v>3</v>
      </c>
      <c r="B124" s="103" t="s">
        <v>268</v>
      </c>
      <c r="C124" s="143"/>
      <c r="D124" s="143"/>
      <c r="E124" s="111"/>
    </row>
    <row r="125" spans="1:5" s="89" customFormat="1" ht="38.25" hidden="1" thickBot="1">
      <c r="A125" s="142">
        <v>4</v>
      </c>
      <c r="B125" s="103" t="s">
        <v>269</v>
      </c>
      <c r="C125" s="143"/>
      <c r="D125" s="143"/>
      <c r="E125" s="111"/>
    </row>
    <row r="126" spans="1:5" s="89" customFormat="1" ht="24.75" customHeight="1" hidden="1" thickBot="1">
      <c r="A126" s="142">
        <v>5</v>
      </c>
      <c r="B126" s="103" t="s">
        <v>270</v>
      </c>
      <c r="C126" s="143"/>
      <c r="D126" s="143"/>
      <c r="E126" s="111"/>
    </row>
    <row r="127" spans="1:12" s="89" customFormat="1" ht="57" hidden="1" thickBot="1">
      <c r="A127" s="142">
        <v>6</v>
      </c>
      <c r="B127" s="103" t="s">
        <v>271</v>
      </c>
      <c r="C127" s="143"/>
      <c r="D127" s="143"/>
      <c r="E127" s="111"/>
      <c r="L127" s="123">
        <f>233280-D148-E155-E157</f>
        <v>0</v>
      </c>
    </row>
    <row r="128" spans="1:5" s="89" customFormat="1" ht="19.5" hidden="1" thickBot="1">
      <c r="A128" s="142">
        <v>7</v>
      </c>
      <c r="B128" s="103" t="s">
        <v>272</v>
      </c>
      <c r="C128" s="143"/>
      <c r="D128" s="143"/>
      <c r="E128" s="111"/>
    </row>
    <row r="129" spans="1:5" s="89" customFormat="1" ht="38.25" hidden="1" thickBot="1">
      <c r="A129" s="142">
        <v>8</v>
      </c>
      <c r="B129" s="103" t="s">
        <v>273</v>
      </c>
      <c r="C129" s="143"/>
      <c r="D129" s="143"/>
      <c r="E129" s="111"/>
    </row>
    <row r="130" spans="1:5" s="89" customFormat="1" ht="38.25" hidden="1" thickBot="1">
      <c r="A130" s="142">
        <v>9</v>
      </c>
      <c r="B130" s="103" t="s">
        <v>292</v>
      </c>
      <c r="C130" s="143"/>
      <c r="D130" s="143"/>
      <c r="E130" s="111"/>
    </row>
    <row r="131" spans="1:5" s="89" customFormat="1" ht="38.25" hidden="1" thickBot="1">
      <c r="A131" s="142">
        <v>10</v>
      </c>
      <c r="B131" s="103" t="s">
        <v>274</v>
      </c>
      <c r="C131" s="143"/>
      <c r="D131" s="143"/>
      <c r="E131" s="111"/>
    </row>
    <row r="132" spans="1:5" s="89" customFormat="1" ht="57" hidden="1" thickBot="1">
      <c r="A132" s="142">
        <v>11</v>
      </c>
      <c r="B132" s="103" t="s">
        <v>275</v>
      </c>
      <c r="C132" s="143"/>
      <c r="D132" s="143"/>
      <c r="E132" s="111"/>
    </row>
    <row r="133" spans="1:5" s="89" customFormat="1" ht="27" customHeight="1" hidden="1" thickBot="1">
      <c r="A133" s="142"/>
      <c r="B133" s="143"/>
      <c r="C133" s="143"/>
      <c r="D133" s="143"/>
      <c r="E133" s="111"/>
    </row>
    <row r="134" spans="1:5" s="89" customFormat="1" ht="19.5" hidden="1" thickBot="1">
      <c r="A134" s="142"/>
      <c r="B134" s="143"/>
      <c r="C134" s="143"/>
      <c r="D134" s="143"/>
      <c r="E134" s="111"/>
    </row>
    <row r="135" spans="1:5" s="89" customFormat="1" ht="19.5" hidden="1" thickBot="1">
      <c r="A135" s="142"/>
      <c r="B135" s="108" t="s">
        <v>138</v>
      </c>
      <c r="C135" s="66" t="s">
        <v>139</v>
      </c>
      <c r="D135" s="66" t="s">
        <v>139</v>
      </c>
      <c r="E135" s="112">
        <f>SUM(E122:E134)</f>
        <v>0</v>
      </c>
    </row>
    <row r="136" s="89" customFormat="1" ht="15"/>
    <row r="137" spans="1:5" s="89" customFormat="1" ht="37.5" customHeight="1">
      <c r="A137" s="304" t="s">
        <v>331</v>
      </c>
      <c r="B137" s="304"/>
      <c r="C137" s="304"/>
      <c r="D137" s="304"/>
      <c r="E137" s="304"/>
    </row>
    <row r="138" s="89" customFormat="1" ht="19.5" thickBot="1">
      <c r="A138" s="98"/>
    </row>
    <row r="139" spans="1:4" s="89" customFormat="1" ht="38.25" thickBot="1">
      <c r="A139" s="91" t="s">
        <v>0</v>
      </c>
      <c r="B139" s="144" t="s">
        <v>140</v>
      </c>
      <c r="C139" s="144" t="s">
        <v>182</v>
      </c>
      <c r="D139" s="144" t="s">
        <v>183</v>
      </c>
    </row>
    <row r="140" spans="1:4" s="89" customFormat="1" ht="19.5" thickBot="1">
      <c r="A140" s="142">
        <v>1</v>
      </c>
      <c r="B140" s="143">
        <v>2</v>
      </c>
      <c r="C140" s="143">
        <v>3</v>
      </c>
      <c r="D140" s="143">
        <v>4</v>
      </c>
    </row>
    <row r="141" spans="1:4" s="89" customFormat="1" ht="75" customHeight="1" thickBot="1">
      <c r="A141" s="142">
        <v>1</v>
      </c>
      <c r="B141" s="103" t="s">
        <v>327</v>
      </c>
      <c r="C141" s="143"/>
      <c r="D141" s="111">
        <v>139968</v>
      </c>
    </row>
    <row r="142" spans="1:4" s="89" customFormat="1" ht="24.75" customHeight="1" hidden="1" thickBot="1">
      <c r="A142" s="142">
        <v>2</v>
      </c>
      <c r="B142" s="103" t="s">
        <v>277</v>
      </c>
      <c r="C142" s="143"/>
      <c r="D142" s="111"/>
    </row>
    <row r="143" spans="1:4" s="89" customFormat="1" ht="62.25" customHeight="1" hidden="1" thickBot="1">
      <c r="A143" s="142">
        <v>3</v>
      </c>
      <c r="B143" s="103" t="s">
        <v>278</v>
      </c>
      <c r="C143" s="143"/>
      <c r="D143" s="111"/>
    </row>
    <row r="144" spans="1:4" s="89" customFormat="1" ht="24.75" customHeight="1" hidden="1" thickBot="1">
      <c r="A144" s="142">
        <v>4</v>
      </c>
      <c r="B144" s="103" t="s">
        <v>279</v>
      </c>
      <c r="C144" s="143"/>
      <c r="D144" s="111"/>
    </row>
    <row r="145" spans="1:4" s="89" customFormat="1" ht="24.75" customHeight="1" hidden="1" thickBot="1">
      <c r="A145" s="142"/>
      <c r="B145" s="143"/>
      <c r="C145" s="143"/>
      <c r="D145" s="111"/>
    </row>
    <row r="146" spans="1:4" s="89" customFormat="1" ht="19.5" hidden="1" thickBot="1">
      <c r="A146" s="142"/>
      <c r="B146" s="143"/>
      <c r="C146" s="143"/>
      <c r="D146" s="111"/>
    </row>
    <row r="147" spans="1:4" s="89" customFormat="1" ht="19.5" hidden="1" thickBot="1">
      <c r="A147" s="142"/>
      <c r="B147" s="143"/>
      <c r="C147" s="143"/>
      <c r="D147" s="111"/>
    </row>
    <row r="148" spans="1:4" s="89" customFormat="1" ht="19.5" thickBot="1">
      <c r="A148" s="142"/>
      <c r="B148" s="108" t="s">
        <v>138</v>
      </c>
      <c r="C148" s="66" t="s">
        <v>139</v>
      </c>
      <c r="D148" s="112">
        <f>D147+D146+D145+D144+D143+D142+D141</f>
        <v>139968</v>
      </c>
    </row>
    <row r="149" s="89" customFormat="1" ht="15"/>
    <row r="150" spans="1:6" s="89" customFormat="1" ht="51" customHeight="1">
      <c r="A150" s="304" t="s">
        <v>332</v>
      </c>
      <c r="B150" s="304"/>
      <c r="C150" s="304"/>
      <c r="D150" s="304"/>
      <c r="E150" s="304"/>
      <c r="F150" s="304"/>
    </row>
    <row r="151" s="89" customFormat="1" ht="15.75" thickBot="1"/>
    <row r="152" spans="1:5" s="89" customFormat="1" ht="57" thickBot="1">
      <c r="A152" s="91" t="s">
        <v>0</v>
      </c>
      <c r="B152" s="144" t="s">
        <v>140</v>
      </c>
      <c r="C152" s="144" t="s">
        <v>309</v>
      </c>
      <c r="D152" s="144" t="s">
        <v>184</v>
      </c>
      <c r="E152" s="144" t="s">
        <v>185</v>
      </c>
    </row>
    <row r="153" spans="1:5" s="89" customFormat="1" ht="19.5" thickBot="1">
      <c r="A153" s="142"/>
      <c r="B153" s="143">
        <v>1</v>
      </c>
      <c r="C153" s="143">
        <v>2</v>
      </c>
      <c r="D153" s="143">
        <v>3</v>
      </c>
      <c r="E153" s="143">
        <v>4</v>
      </c>
    </row>
    <row r="154" spans="1:5" s="89" customFormat="1" ht="87" customHeight="1" thickBot="1">
      <c r="A154" s="142"/>
      <c r="B154" s="103" t="s">
        <v>328</v>
      </c>
      <c r="C154" s="143"/>
      <c r="D154" s="111"/>
      <c r="E154" s="111">
        <v>50000</v>
      </c>
    </row>
    <row r="155" spans="1:5" s="89" customFormat="1" ht="50.25" customHeight="1" thickBot="1">
      <c r="A155" s="145"/>
      <c r="B155" s="110" t="s">
        <v>329</v>
      </c>
      <c r="C155" s="66"/>
      <c r="D155" s="112"/>
      <c r="E155" s="112">
        <f>E154</f>
        <v>50000</v>
      </c>
    </row>
    <row r="156" spans="1:5" s="89" customFormat="1" ht="85.5" customHeight="1" thickBot="1">
      <c r="A156" s="142"/>
      <c r="B156" s="103" t="s">
        <v>330</v>
      </c>
      <c r="C156" s="143"/>
      <c r="D156" s="111"/>
      <c r="E156" s="111">
        <v>43312</v>
      </c>
    </row>
    <row r="157" spans="1:5" s="89" customFormat="1" ht="50.25" customHeight="1" thickBot="1">
      <c r="A157" s="145"/>
      <c r="B157" s="110" t="s">
        <v>294</v>
      </c>
      <c r="C157" s="66"/>
      <c r="D157" s="112"/>
      <c r="E157" s="112">
        <f>E156</f>
        <v>43312</v>
      </c>
    </row>
    <row r="158" spans="1:6" s="89" customFormat="1" ht="51" customHeight="1">
      <c r="A158" s="304" t="s">
        <v>333</v>
      </c>
      <c r="B158" s="304"/>
      <c r="C158" s="304"/>
      <c r="D158" s="304"/>
      <c r="E158" s="304"/>
      <c r="F158" s="304"/>
    </row>
    <row r="159" s="89" customFormat="1" ht="15.75" thickBot="1"/>
    <row r="160" spans="1:5" s="89" customFormat="1" ht="57" thickBot="1">
      <c r="A160" s="91" t="s">
        <v>0</v>
      </c>
      <c r="B160" s="144" t="s">
        <v>140</v>
      </c>
      <c r="C160" s="144" t="s">
        <v>309</v>
      </c>
      <c r="D160" s="144" t="s">
        <v>184</v>
      </c>
      <c r="E160" s="144" t="s">
        <v>185</v>
      </c>
    </row>
    <row r="161" spans="1:5" s="89" customFormat="1" ht="19.5" thickBot="1">
      <c r="A161" s="142"/>
      <c r="B161" s="143">
        <v>1</v>
      </c>
      <c r="C161" s="143">
        <v>2</v>
      </c>
      <c r="D161" s="143">
        <v>3</v>
      </c>
      <c r="E161" s="143">
        <v>4</v>
      </c>
    </row>
    <row r="162" spans="1:5" s="89" customFormat="1" ht="49.5" customHeight="1" thickBot="1">
      <c r="A162" s="142"/>
      <c r="B162" s="103" t="s">
        <v>285</v>
      </c>
      <c r="C162" s="143"/>
      <c r="D162" s="111"/>
      <c r="E162" s="111">
        <f>SUM(E163:E164)</f>
        <v>6522399</v>
      </c>
    </row>
    <row r="163" spans="1:5" s="89" customFormat="1" ht="85.5" customHeight="1" thickBot="1">
      <c r="A163" s="142"/>
      <c r="B163" s="103" t="s">
        <v>312</v>
      </c>
      <c r="C163" s="143">
        <v>30450</v>
      </c>
      <c r="D163" s="111">
        <v>203.19</v>
      </c>
      <c r="E163" s="111">
        <f>C163*D163</f>
        <v>6187135.5</v>
      </c>
    </row>
    <row r="164" spans="1:5" s="89" customFormat="1" ht="85.5" customHeight="1" thickBot="1">
      <c r="A164" s="142"/>
      <c r="B164" s="103" t="s">
        <v>313</v>
      </c>
      <c r="C164" s="143">
        <v>3300</v>
      </c>
      <c r="D164" s="111">
        <f>D163/2</f>
        <v>101.595</v>
      </c>
      <c r="E164" s="111">
        <f>C164*D164</f>
        <v>335263.5</v>
      </c>
    </row>
    <row r="165" spans="1:5" s="89" customFormat="1" ht="50.25" customHeight="1" thickBot="1">
      <c r="A165" s="145"/>
      <c r="B165" s="110" t="s">
        <v>294</v>
      </c>
      <c r="C165" s="66"/>
      <c r="D165" s="112"/>
      <c r="E165" s="112">
        <f>E162</f>
        <v>6522399</v>
      </c>
    </row>
    <row r="167" ht="15.75">
      <c r="B167" s="124" t="s">
        <v>375</v>
      </c>
    </row>
    <row r="168" ht="15.75">
      <c r="B168" s="124" t="s">
        <v>381</v>
      </c>
    </row>
  </sheetData>
  <sheetProtection/>
  <mergeCells count="36">
    <mergeCell ref="A11:J11"/>
    <mergeCell ref="A13:J13"/>
    <mergeCell ref="A15:J15"/>
    <mergeCell ref="A16:J16"/>
    <mergeCell ref="A18:J18"/>
    <mergeCell ref="A20:A22"/>
    <mergeCell ref="B20:B22"/>
    <mergeCell ref="C20:C22"/>
    <mergeCell ref="D20:G20"/>
    <mergeCell ref="H20:H22"/>
    <mergeCell ref="I20:I22"/>
    <mergeCell ref="J20:J22"/>
    <mergeCell ref="D21:D22"/>
    <mergeCell ref="E21:G21"/>
    <mergeCell ref="A28:B28"/>
    <mergeCell ref="A31:F31"/>
    <mergeCell ref="A38:F38"/>
    <mergeCell ref="A45:E45"/>
    <mergeCell ref="A50:A51"/>
    <mergeCell ref="C50:C51"/>
    <mergeCell ref="D50:D51"/>
    <mergeCell ref="A57:F57"/>
    <mergeCell ref="A59:F59"/>
    <mergeCell ref="A60:F60"/>
    <mergeCell ref="A68:G68"/>
    <mergeCell ref="A71:G71"/>
    <mergeCell ref="A72:G72"/>
    <mergeCell ref="A80:I80"/>
    <mergeCell ref="A150:F150"/>
    <mergeCell ref="A158:F158"/>
    <mergeCell ref="A85:F85"/>
    <mergeCell ref="A92:F92"/>
    <mergeCell ref="A99:F99"/>
    <mergeCell ref="A111:E111"/>
    <mergeCell ref="A118:E118"/>
    <mergeCell ref="A137:E13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2" manualBreakCount="2">
    <brk id="149" max="9" man="1"/>
    <brk id="157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3:PAR1206"/>
  <sheetViews>
    <sheetView view="pageBreakPreview" zoomScale="60" zoomScaleNormal="60" zoomScalePageLayoutView="0" workbookViewId="0" topLeftCell="A31">
      <selection activeCell="E20" sqref="E20"/>
    </sheetView>
  </sheetViews>
  <sheetFormatPr defaultColWidth="28.8515625" defaultRowHeight="15"/>
  <cols>
    <col min="1" max="1" width="42.140625" style="172" customWidth="1"/>
    <col min="2" max="2" width="16.28125" style="172" customWidth="1"/>
    <col min="3" max="3" width="33.7109375" style="172" customWidth="1"/>
    <col min="4" max="4" width="36.140625" style="166" customWidth="1"/>
    <col min="5" max="5" width="27.28125" style="166" customWidth="1"/>
    <col min="6" max="6" width="24.57421875" style="166" customWidth="1"/>
    <col min="7" max="7" width="22.8515625" style="166" customWidth="1"/>
    <col min="8" max="8" width="23.140625" style="166" customWidth="1"/>
    <col min="9" max="9" width="26.140625" style="166" customWidth="1"/>
    <col min="10" max="10" width="19.421875" style="182" customWidth="1"/>
    <col min="11" max="11" width="19.421875" style="183" customWidth="1"/>
    <col min="12" max="12" width="23.8515625" style="183" customWidth="1"/>
    <col min="13" max="13" width="36.421875" style="172" customWidth="1"/>
    <col min="14" max="16384" width="28.8515625" style="172" customWidth="1"/>
  </cols>
  <sheetData>
    <row r="3" spans="1:9" ht="19.5" customHeight="1">
      <c r="A3" s="262" t="s">
        <v>92</v>
      </c>
      <c r="B3" s="262"/>
      <c r="C3" s="262"/>
      <c r="D3" s="262"/>
      <c r="E3" s="262"/>
      <c r="F3" s="262"/>
      <c r="G3" s="262"/>
      <c r="H3" s="262"/>
      <c r="I3" s="262"/>
    </row>
    <row r="4" spans="1:9" ht="18.75">
      <c r="A4" s="253" t="s">
        <v>366</v>
      </c>
      <c r="B4" s="253"/>
      <c r="C4" s="253"/>
      <c r="D4" s="253"/>
      <c r="E4" s="253"/>
      <c r="F4" s="253"/>
      <c r="G4" s="253"/>
      <c r="H4" s="253"/>
      <c r="I4" s="253"/>
    </row>
    <row r="5" ht="15.75" thickBot="1">
      <c r="I5" s="166" t="s">
        <v>93</v>
      </c>
    </row>
    <row r="6" spans="1:9" ht="19.5" customHeight="1" thickBot="1">
      <c r="A6" s="297" t="s">
        <v>40</v>
      </c>
      <c r="B6" s="263" t="s">
        <v>41</v>
      </c>
      <c r="C6" s="263" t="s">
        <v>42</v>
      </c>
      <c r="D6" s="295" t="s">
        <v>43</v>
      </c>
      <c r="E6" s="301"/>
      <c r="F6" s="301"/>
      <c r="G6" s="301"/>
      <c r="H6" s="301"/>
      <c r="I6" s="296"/>
    </row>
    <row r="7" spans="1:9" ht="19.5" thickBot="1">
      <c r="A7" s="298"/>
      <c r="B7" s="300"/>
      <c r="C7" s="300"/>
      <c r="D7" s="282" t="s">
        <v>44</v>
      </c>
      <c r="E7" s="295" t="s">
        <v>22</v>
      </c>
      <c r="F7" s="301"/>
      <c r="G7" s="301"/>
      <c r="H7" s="301"/>
      <c r="I7" s="296"/>
    </row>
    <row r="8" spans="1:9" ht="100.5" customHeight="1" thickBot="1">
      <c r="A8" s="298"/>
      <c r="B8" s="300"/>
      <c r="C8" s="300"/>
      <c r="D8" s="286"/>
      <c r="E8" s="282" t="s">
        <v>45</v>
      </c>
      <c r="F8" s="302" t="s">
        <v>46</v>
      </c>
      <c r="G8" s="282" t="s">
        <v>47</v>
      </c>
      <c r="H8" s="295" t="s">
        <v>48</v>
      </c>
      <c r="I8" s="296"/>
    </row>
    <row r="9" spans="1:9" ht="45" customHeight="1" thickBot="1">
      <c r="A9" s="299"/>
      <c r="B9" s="264"/>
      <c r="C9" s="264"/>
      <c r="D9" s="283"/>
      <c r="E9" s="283"/>
      <c r="F9" s="303"/>
      <c r="G9" s="283"/>
      <c r="H9" s="143" t="s">
        <v>44</v>
      </c>
      <c r="I9" s="143" t="s">
        <v>49</v>
      </c>
    </row>
    <row r="10" spans="1:9" ht="19.5" thickBot="1">
      <c r="A10" s="162">
        <v>1</v>
      </c>
      <c r="B10" s="171">
        <v>2</v>
      </c>
      <c r="C10" s="171">
        <v>3</v>
      </c>
      <c r="D10" s="143">
        <v>4</v>
      </c>
      <c r="E10" s="143">
        <v>5</v>
      </c>
      <c r="F10" s="143">
        <v>6</v>
      </c>
      <c r="G10" s="143">
        <v>7</v>
      </c>
      <c r="H10" s="143">
        <v>8</v>
      </c>
      <c r="I10" s="143">
        <v>9</v>
      </c>
    </row>
    <row r="11" spans="1:13" s="120" customFormat="1" ht="48.75" customHeight="1" thickBot="1">
      <c r="A11" s="38" t="s">
        <v>50</v>
      </c>
      <c r="B11" s="39" t="s">
        <v>197</v>
      </c>
      <c r="C11" s="40" t="s">
        <v>51</v>
      </c>
      <c r="D11" s="177">
        <f>E11+F11+G11+H11</f>
        <v>0</v>
      </c>
      <c r="E11" s="177">
        <v>0</v>
      </c>
      <c r="F11" s="177">
        <v>0</v>
      </c>
      <c r="G11" s="177">
        <v>0</v>
      </c>
      <c r="H11" s="177">
        <v>0</v>
      </c>
      <c r="I11" s="177">
        <v>0</v>
      </c>
      <c r="J11" s="182"/>
      <c r="K11" s="183"/>
      <c r="L11" s="183"/>
      <c r="M11" s="120" t="s">
        <v>203</v>
      </c>
    </row>
    <row r="12" spans="1:13" s="120" customFormat="1" ht="47.25" customHeight="1" thickBot="1">
      <c r="A12" s="38" t="s">
        <v>52</v>
      </c>
      <c r="B12" s="39" t="s">
        <v>198</v>
      </c>
      <c r="C12" s="40" t="s">
        <v>51</v>
      </c>
      <c r="D12" s="177">
        <f>D13+D17+D20+D25+D26</f>
        <v>58935293.00450401</v>
      </c>
      <c r="E12" s="177">
        <f>E17</f>
        <v>50809614.00450401</v>
      </c>
      <c r="F12" s="177">
        <f>F25</f>
        <v>1370000</v>
      </c>
      <c r="G12" s="177">
        <f>G25</f>
        <v>0</v>
      </c>
      <c r="H12" s="177">
        <f>H13+H17+H20+H24+H26</f>
        <v>6755679</v>
      </c>
      <c r="I12" s="177">
        <v>0</v>
      </c>
      <c r="J12" s="184">
        <f>48395694-E12</f>
        <v>-2413920.00450401</v>
      </c>
      <c r="K12" s="185">
        <f>1793500-F12</f>
        <v>423500</v>
      </c>
      <c r="L12" s="186">
        <f>' ПДД 2018'!E165+' ПДД 2018'!E157+' ПДД 2018'!E155+' ПДД 2018'!D148-H12</f>
        <v>0</v>
      </c>
      <c r="M12" s="121"/>
    </row>
    <row r="13" spans="1:13" s="32" customFormat="1" ht="18.75" customHeight="1">
      <c r="A13" s="268" t="s">
        <v>204</v>
      </c>
      <c r="B13" s="291" t="s">
        <v>199</v>
      </c>
      <c r="C13" s="293">
        <v>120</v>
      </c>
      <c r="D13" s="287">
        <f>D15</f>
        <v>0</v>
      </c>
      <c r="E13" s="287" t="s">
        <v>51</v>
      </c>
      <c r="F13" s="287" t="s">
        <v>51</v>
      </c>
      <c r="G13" s="287" t="s">
        <v>51</v>
      </c>
      <c r="H13" s="287">
        <f>H15</f>
        <v>0</v>
      </c>
      <c r="I13" s="287" t="s">
        <v>51</v>
      </c>
      <c r="J13" s="187"/>
      <c r="K13" s="188"/>
      <c r="L13" s="188"/>
      <c r="M13" s="270" t="s">
        <v>205</v>
      </c>
    </row>
    <row r="14" spans="1:13" s="32" customFormat="1" ht="30.75" customHeight="1" thickBot="1">
      <c r="A14" s="269"/>
      <c r="B14" s="292"/>
      <c r="C14" s="294"/>
      <c r="D14" s="288"/>
      <c r="E14" s="288"/>
      <c r="F14" s="288"/>
      <c r="G14" s="288"/>
      <c r="H14" s="288"/>
      <c r="I14" s="288"/>
      <c r="J14" s="187"/>
      <c r="K14" s="188"/>
      <c r="L14" s="188"/>
      <c r="M14" s="270"/>
    </row>
    <row r="15" spans="1:13" ht="18.75" customHeight="1">
      <c r="A15" s="12" t="s">
        <v>4</v>
      </c>
      <c r="B15" s="289" t="s">
        <v>200</v>
      </c>
      <c r="C15" s="263">
        <v>120</v>
      </c>
      <c r="D15" s="278">
        <f>H15</f>
        <v>0</v>
      </c>
      <c r="E15" s="278" t="s">
        <v>51</v>
      </c>
      <c r="F15" s="278" t="s">
        <v>51</v>
      </c>
      <c r="G15" s="278" t="s">
        <v>51</v>
      </c>
      <c r="H15" s="278">
        <v>0</v>
      </c>
      <c r="I15" s="278" t="s">
        <v>51</v>
      </c>
      <c r="M15" s="270"/>
    </row>
    <row r="16" spans="1:13" ht="145.5" customHeight="1" thickBot="1">
      <c r="A16" s="13" t="s">
        <v>53</v>
      </c>
      <c r="B16" s="290"/>
      <c r="C16" s="264"/>
      <c r="D16" s="279"/>
      <c r="E16" s="279"/>
      <c r="F16" s="279"/>
      <c r="G16" s="279"/>
      <c r="H16" s="279"/>
      <c r="I16" s="279"/>
      <c r="M16" s="270"/>
    </row>
    <row r="17" spans="1:14" s="36" customFormat="1" ht="89.25" customHeight="1" thickBot="1">
      <c r="A17" s="33" t="s">
        <v>54</v>
      </c>
      <c r="B17" s="34" t="s">
        <v>201</v>
      </c>
      <c r="C17" s="35">
        <v>130</v>
      </c>
      <c r="D17" s="67">
        <f>D18</f>
        <v>50809614.00450401</v>
      </c>
      <c r="E17" s="67">
        <f>E18</f>
        <v>50809614.00450401</v>
      </c>
      <c r="F17" s="67" t="s">
        <v>51</v>
      </c>
      <c r="G17" s="67" t="s">
        <v>51</v>
      </c>
      <c r="H17" s="67">
        <f>H18</f>
        <v>0</v>
      </c>
      <c r="I17" s="67">
        <f>I18</f>
        <v>0</v>
      </c>
      <c r="J17" s="187"/>
      <c r="K17" s="188"/>
      <c r="L17" s="188"/>
      <c r="M17" s="36" t="s">
        <v>206</v>
      </c>
      <c r="N17" s="37">
        <f>E17-E27</f>
        <v>0</v>
      </c>
    </row>
    <row r="18" spans="1:9" ht="18.75">
      <c r="A18" s="12" t="s">
        <v>55</v>
      </c>
      <c r="B18" s="289" t="s">
        <v>202</v>
      </c>
      <c r="C18" s="263">
        <v>130</v>
      </c>
      <c r="D18" s="278">
        <f>E18+H18</f>
        <v>50809614.00450401</v>
      </c>
      <c r="E18" s="278">
        <f>E27</f>
        <v>50809614.00450401</v>
      </c>
      <c r="F18" s="278" t="s">
        <v>51</v>
      </c>
      <c r="G18" s="278" t="s">
        <v>51</v>
      </c>
      <c r="H18" s="278">
        <v>0</v>
      </c>
      <c r="I18" s="278">
        <v>0</v>
      </c>
    </row>
    <row r="19" spans="1:9" ht="75.75" thickBot="1">
      <c r="A19" s="13" t="s">
        <v>56</v>
      </c>
      <c r="B19" s="290"/>
      <c r="C19" s="264"/>
      <c r="D19" s="279"/>
      <c r="E19" s="279"/>
      <c r="F19" s="279"/>
      <c r="G19" s="279"/>
      <c r="H19" s="279"/>
      <c r="I19" s="279"/>
    </row>
    <row r="20" spans="1:12" s="36" customFormat="1" ht="57" thickBot="1">
      <c r="A20" s="33" t="s">
        <v>57</v>
      </c>
      <c r="B20" s="34" t="s">
        <v>207</v>
      </c>
      <c r="C20" s="35">
        <v>130</v>
      </c>
      <c r="D20" s="67">
        <f>D21+D23+D24</f>
        <v>6755679</v>
      </c>
      <c r="E20" s="67" t="s">
        <v>51</v>
      </c>
      <c r="F20" s="67" t="s">
        <v>51</v>
      </c>
      <c r="G20" s="67" t="s">
        <v>51</v>
      </c>
      <c r="H20" s="67">
        <f>H23+H21</f>
        <v>6755679</v>
      </c>
      <c r="I20" s="67">
        <v>0</v>
      </c>
      <c r="J20" s="187"/>
      <c r="K20" s="188"/>
      <c r="L20" s="188"/>
    </row>
    <row r="21" spans="1:9" ht="18.75">
      <c r="A21" s="12" t="s">
        <v>22</v>
      </c>
      <c r="B21" s="289" t="s">
        <v>208</v>
      </c>
      <c r="C21" s="263">
        <v>130</v>
      </c>
      <c r="D21" s="278">
        <f>H21</f>
        <v>233280</v>
      </c>
      <c r="E21" s="278" t="s">
        <v>51</v>
      </c>
      <c r="F21" s="278" t="s">
        <v>51</v>
      </c>
      <c r="G21" s="278" t="s">
        <v>51</v>
      </c>
      <c r="H21" s="278">
        <f>' ПДД 2018'!D148+' ПДД 2018'!E155+' ПДД 2018'!E157</f>
        <v>233280</v>
      </c>
      <c r="I21" s="278">
        <v>0</v>
      </c>
    </row>
    <row r="22" spans="1:9" ht="38.25" thickBot="1">
      <c r="A22" s="13" t="s">
        <v>58</v>
      </c>
      <c r="B22" s="290"/>
      <c r="C22" s="264"/>
      <c r="D22" s="279"/>
      <c r="E22" s="279"/>
      <c r="F22" s="279"/>
      <c r="G22" s="279"/>
      <c r="H22" s="279"/>
      <c r="I22" s="279"/>
    </row>
    <row r="23" spans="1:9" ht="28.5" customHeight="1" thickBot="1">
      <c r="A23" s="13" t="s">
        <v>59</v>
      </c>
      <c r="B23" s="30" t="s">
        <v>209</v>
      </c>
      <c r="C23" s="171">
        <v>130</v>
      </c>
      <c r="D23" s="51">
        <f>H23</f>
        <v>6522399</v>
      </c>
      <c r="E23" s="51" t="s">
        <v>51</v>
      </c>
      <c r="F23" s="51" t="s">
        <v>51</v>
      </c>
      <c r="G23" s="51" t="s">
        <v>51</v>
      </c>
      <c r="H23" s="51">
        <f>' ПДД 2018'!E165</f>
        <v>6522399</v>
      </c>
      <c r="I23" s="51">
        <v>0</v>
      </c>
    </row>
    <row r="24" spans="1:9" ht="57" thickBot="1">
      <c r="A24" s="13" t="s">
        <v>60</v>
      </c>
      <c r="B24" s="30" t="s">
        <v>210</v>
      </c>
      <c r="C24" s="171">
        <v>140</v>
      </c>
      <c r="D24" s="51">
        <f>H24</f>
        <v>0</v>
      </c>
      <c r="E24" s="51" t="s">
        <v>51</v>
      </c>
      <c r="F24" s="51" t="s">
        <v>51</v>
      </c>
      <c r="G24" s="51" t="s">
        <v>51</v>
      </c>
      <c r="H24" s="51">
        <v>0</v>
      </c>
      <c r="I24" s="51" t="s">
        <v>51</v>
      </c>
    </row>
    <row r="25" spans="1:12" s="36" customFormat="1" ht="57" thickBot="1">
      <c r="A25" s="33" t="s">
        <v>61</v>
      </c>
      <c r="B25" s="34" t="s">
        <v>211</v>
      </c>
      <c r="C25" s="35">
        <v>180</v>
      </c>
      <c r="D25" s="67">
        <f>F25+G25</f>
        <v>1370000</v>
      </c>
      <c r="E25" s="67" t="s">
        <v>51</v>
      </c>
      <c r="F25" s="67">
        <f>1370000</f>
        <v>1370000</v>
      </c>
      <c r="G25" s="67">
        <v>0</v>
      </c>
      <c r="H25" s="67" t="s">
        <v>51</v>
      </c>
      <c r="I25" s="67" t="s">
        <v>51</v>
      </c>
      <c r="J25" s="187"/>
      <c r="K25" s="188"/>
      <c r="L25" s="188"/>
    </row>
    <row r="26" spans="1:12" s="36" customFormat="1" ht="43.5" customHeight="1">
      <c r="A26" s="125" t="s">
        <v>62</v>
      </c>
      <c r="B26" s="126" t="s">
        <v>213</v>
      </c>
      <c r="C26" s="127">
        <v>180</v>
      </c>
      <c r="D26" s="178">
        <f>H26</f>
        <v>0</v>
      </c>
      <c r="E26" s="178" t="s">
        <v>51</v>
      </c>
      <c r="F26" s="178" t="s">
        <v>51</v>
      </c>
      <c r="G26" s="178" t="s">
        <v>51</v>
      </c>
      <c r="H26" s="178">
        <v>0</v>
      </c>
      <c r="I26" s="178">
        <v>0</v>
      </c>
      <c r="J26" s="187"/>
      <c r="K26" s="188"/>
      <c r="L26" s="188"/>
    </row>
    <row r="27" spans="1:13" s="122" customFormat="1" ht="53.25" customHeight="1" thickBot="1">
      <c r="A27" s="128" t="s">
        <v>63</v>
      </c>
      <c r="B27" s="129" t="s">
        <v>214</v>
      </c>
      <c r="C27" s="130" t="s">
        <v>51</v>
      </c>
      <c r="D27" s="179">
        <f>D28+D34+D37+D43+D47</f>
        <v>58935293.00450401</v>
      </c>
      <c r="E27" s="179">
        <f>E28+E34+E37+E43+E47</f>
        <v>50809614.00450401</v>
      </c>
      <c r="F27" s="179">
        <f>F28+F34+F37+F43+F47</f>
        <v>1370000</v>
      </c>
      <c r="G27" s="179">
        <f>G28+G34+G37+G43+G47</f>
        <v>0</v>
      </c>
      <c r="H27" s="179">
        <f>H28+H34+H37+H43+H47</f>
        <v>6755679</v>
      </c>
      <c r="I27" s="179"/>
      <c r="J27" s="189">
        <f>48395694-E27</f>
        <v>-2413920.00450401</v>
      </c>
      <c r="K27" s="190">
        <f>1793500-F27</f>
        <v>423500</v>
      </c>
      <c r="L27" s="191">
        <f>' ПДД 2018'!E165+' ПДД 2018'!E157+' ПДД 2018'!E155+' ПДД 2018'!D148-H27</f>
        <v>0</v>
      </c>
      <c r="M27" s="122" t="s">
        <v>212</v>
      </c>
    </row>
    <row r="28" spans="1:12" s="166" customFormat="1" ht="18.75">
      <c r="A28" s="59" t="s">
        <v>22</v>
      </c>
      <c r="B28" s="291" t="s">
        <v>215</v>
      </c>
      <c r="C28" s="293">
        <v>100</v>
      </c>
      <c r="D28" s="287">
        <f>D30+D32+D33</f>
        <v>45086886.97451401</v>
      </c>
      <c r="E28" s="287">
        <f>E30+E32+E33</f>
        <v>43716886.97451401</v>
      </c>
      <c r="F28" s="287">
        <f>F30+F32+F33</f>
        <v>1370000</v>
      </c>
      <c r="G28" s="287">
        <f>G30+G32+G33</f>
        <v>0</v>
      </c>
      <c r="H28" s="287">
        <f>H30+H32+H33</f>
        <v>0</v>
      </c>
      <c r="I28" s="287"/>
      <c r="J28" s="182"/>
      <c r="K28" s="183"/>
      <c r="L28" s="183"/>
    </row>
    <row r="29" spans="1:13" s="166" customFormat="1" ht="38.25" thickBot="1">
      <c r="A29" s="165" t="s">
        <v>64</v>
      </c>
      <c r="B29" s="292"/>
      <c r="C29" s="294"/>
      <c r="D29" s="288"/>
      <c r="E29" s="288"/>
      <c r="F29" s="288"/>
      <c r="G29" s="288"/>
      <c r="H29" s="288"/>
      <c r="I29" s="288"/>
      <c r="J29" s="182"/>
      <c r="K29" s="183"/>
      <c r="L29" s="183"/>
      <c r="M29" s="60"/>
    </row>
    <row r="30" spans="1:12" s="166" customFormat="1" ht="18.75">
      <c r="A30" s="61" t="s">
        <v>4</v>
      </c>
      <c r="B30" s="280" t="s">
        <v>216</v>
      </c>
      <c r="C30" s="282">
        <v>111</v>
      </c>
      <c r="D30" s="278">
        <f>E30+F30+G30+H30</f>
        <v>33575368.13451401</v>
      </c>
      <c r="E30" s="278">
        <f>' Мун. 2018'!J28</f>
        <v>33575368.13451401</v>
      </c>
      <c r="F30" s="278">
        <v>0</v>
      </c>
      <c r="G30" s="278">
        <v>0</v>
      </c>
      <c r="H30" s="278">
        <v>0</v>
      </c>
      <c r="I30" s="278"/>
      <c r="J30" s="182"/>
      <c r="K30" s="183"/>
      <c r="L30" s="183"/>
    </row>
    <row r="31" spans="1:12" s="166" customFormat="1" ht="19.5" thickBot="1">
      <c r="A31" s="62" t="s">
        <v>65</v>
      </c>
      <c r="B31" s="281"/>
      <c r="C31" s="283"/>
      <c r="D31" s="279"/>
      <c r="E31" s="279"/>
      <c r="F31" s="279"/>
      <c r="G31" s="279"/>
      <c r="H31" s="279"/>
      <c r="I31" s="279"/>
      <c r="J31" s="182"/>
      <c r="K31" s="183"/>
      <c r="L31" s="183"/>
    </row>
    <row r="32" spans="1:12" s="166" customFormat="1" ht="68.25" customHeight="1" thickBot="1">
      <c r="A32" s="49" t="s">
        <v>66</v>
      </c>
      <c r="B32" s="63" t="s">
        <v>217</v>
      </c>
      <c r="C32" s="143">
        <v>112</v>
      </c>
      <c r="D32" s="51">
        <f>E32+F32+G32+H32</f>
        <v>1372160</v>
      </c>
      <c r="E32" s="51">
        <f>' Мун. 2018'!F43</f>
        <v>2160</v>
      </c>
      <c r="F32" s="51">
        <v>1370000</v>
      </c>
      <c r="G32" s="51">
        <v>0</v>
      </c>
      <c r="H32" s="51">
        <v>0</v>
      </c>
      <c r="I32" s="51"/>
      <c r="J32" s="182"/>
      <c r="K32" s="183"/>
      <c r="L32" s="183"/>
    </row>
    <row r="33" spans="1:12" s="166" customFormat="1" ht="117" customHeight="1" thickBot="1">
      <c r="A33" s="49" t="s">
        <v>67</v>
      </c>
      <c r="B33" s="63" t="s">
        <v>218</v>
      </c>
      <c r="C33" s="143">
        <v>119</v>
      </c>
      <c r="D33" s="51">
        <f>E33+F33+G33+H33</f>
        <v>10139358.84</v>
      </c>
      <c r="E33" s="51">
        <f>' Мун. 2018'!D55</f>
        <v>10139358.84</v>
      </c>
      <c r="F33" s="51">
        <v>0</v>
      </c>
      <c r="G33" s="51">
        <v>0</v>
      </c>
      <c r="H33" s="51">
        <v>0</v>
      </c>
      <c r="I33" s="51"/>
      <c r="J33" s="182"/>
      <c r="K33" s="183"/>
      <c r="L33" s="183"/>
    </row>
    <row r="34" spans="1:12" s="166" customFormat="1" ht="47.25" customHeight="1" thickBot="1">
      <c r="A34" s="64" t="s">
        <v>68</v>
      </c>
      <c r="B34" s="65" t="s">
        <v>219</v>
      </c>
      <c r="C34" s="66">
        <v>300</v>
      </c>
      <c r="D34" s="67">
        <f>D35</f>
        <v>0</v>
      </c>
      <c r="E34" s="67">
        <f>E35</f>
        <v>0</v>
      </c>
      <c r="F34" s="67">
        <f>F35</f>
        <v>0</v>
      </c>
      <c r="G34" s="67">
        <f>G35</f>
        <v>0</v>
      </c>
      <c r="H34" s="67">
        <f>H35</f>
        <v>0</v>
      </c>
      <c r="I34" s="67"/>
      <c r="J34" s="182"/>
      <c r="K34" s="183"/>
      <c r="L34" s="183"/>
    </row>
    <row r="35" spans="1:12" s="166" customFormat="1" ht="18.75">
      <c r="A35" s="68" t="s">
        <v>4</v>
      </c>
      <c r="B35" s="280" t="s">
        <v>220</v>
      </c>
      <c r="C35" s="282">
        <v>321</v>
      </c>
      <c r="D35" s="278">
        <f>E35+F35+G35+H35</f>
        <v>0</v>
      </c>
      <c r="E35" s="278">
        <v>0</v>
      </c>
      <c r="F35" s="278">
        <v>0</v>
      </c>
      <c r="G35" s="278">
        <v>0</v>
      </c>
      <c r="H35" s="278">
        <v>0</v>
      </c>
      <c r="I35" s="278"/>
      <c r="J35" s="182"/>
      <c r="K35" s="183"/>
      <c r="L35" s="183"/>
    </row>
    <row r="36" spans="1:12" s="166" customFormat="1" ht="75.75" thickBot="1">
      <c r="A36" s="49" t="s">
        <v>69</v>
      </c>
      <c r="B36" s="281"/>
      <c r="C36" s="283"/>
      <c r="D36" s="279"/>
      <c r="E36" s="279"/>
      <c r="F36" s="279"/>
      <c r="G36" s="279"/>
      <c r="H36" s="279"/>
      <c r="I36" s="279"/>
      <c r="J36" s="182"/>
      <c r="K36" s="183"/>
      <c r="L36" s="183"/>
    </row>
    <row r="37" spans="1:12" s="166" customFormat="1" ht="53.25" customHeight="1" thickBot="1">
      <c r="A37" s="64" t="s">
        <v>70</v>
      </c>
      <c r="B37" s="65" t="s">
        <v>221</v>
      </c>
      <c r="C37" s="66">
        <v>850</v>
      </c>
      <c r="D37" s="67">
        <f>D38+D40+D41+D42</f>
        <v>748521.99999</v>
      </c>
      <c r="E37" s="67">
        <f>E38+E40+E41+E42</f>
        <v>748521.99999</v>
      </c>
      <c r="F37" s="67">
        <f>F38+F40+F41+F42</f>
        <v>0</v>
      </c>
      <c r="G37" s="67">
        <f>G40</f>
        <v>0</v>
      </c>
      <c r="H37" s="67">
        <f>H38+H40+H41+H42</f>
        <v>0</v>
      </c>
      <c r="I37" s="67"/>
      <c r="J37" s="182"/>
      <c r="K37" s="183"/>
      <c r="L37" s="183"/>
    </row>
    <row r="38" spans="1:12" s="166" customFormat="1" ht="18.75">
      <c r="A38" s="68" t="s">
        <v>4</v>
      </c>
      <c r="B38" s="280" t="s">
        <v>222</v>
      </c>
      <c r="C38" s="282">
        <v>851</v>
      </c>
      <c r="D38" s="278">
        <f>E38+F38+H38</f>
        <v>328013.99994</v>
      </c>
      <c r="E38" s="278">
        <f>' Мун. 2018'!E76</f>
        <v>328013.99994</v>
      </c>
      <c r="F38" s="278">
        <v>0</v>
      </c>
      <c r="G38" s="278" t="s">
        <v>51</v>
      </c>
      <c r="H38" s="278">
        <v>0</v>
      </c>
      <c r="I38" s="278"/>
      <c r="J38" s="182"/>
      <c r="K38" s="183"/>
      <c r="L38" s="183"/>
    </row>
    <row r="39" spans="1:12" s="166" customFormat="1" ht="19.5" thickBot="1">
      <c r="A39" s="49" t="s">
        <v>91</v>
      </c>
      <c r="B39" s="281"/>
      <c r="C39" s="283"/>
      <c r="D39" s="279"/>
      <c r="E39" s="279"/>
      <c r="F39" s="279"/>
      <c r="G39" s="279"/>
      <c r="H39" s="279"/>
      <c r="I39" s="279"/>
      <c r="J39" s="182"/>
      <c r="K39" s="183"/>
      <c r="L39" s="183"/>
    </row>
    <row r="40" spans="1:12" s="166" customFormat="1" ht="34.5" customHeight="1" thickBot="1">
      <c r="A40" s="69" t="s">
        <v>71</v>
      </c>
      <c r="B40" s="63" t="s">
        <v>223</v>
      </c>
      <c r="C40" s="143">
        <v>851</v>
      </c>
      <c r="D40" s="51">
        <f>E40+F40+G40+H40</f>
        <v>420508.00005000003</v>
      </c>
      <c r="E40" s="51">
        <f>' Мун. 2018'!E77</f>
        <v>420508.00005000003</v>
      </c>
      <c r="F40" s="51">
        <v>0</v>
      </c>
      <c r="G40" s="51">
        <v>0</v>
      </c>
      <c r="H40" s="51">
        <v>0</v>
      </c>
      <c r="I40" s="51"/>
      <c r="J40" s="182"/>
      <c r="K40" s="183"/>
      <c r="L40" s="183"/>
    </row>
    <row r="41" spans="1:12" s="166" customFormat="1" ht="60" customHeight="1" thickBot="1">
      <c r="A41" s="49" t="s">
        <v>72</v>
      </c>
      <c r="B41" s="63" t="s">
        <v>224</v>
      </c>
      <c r="C41" s="143">
        <v>852</v>
      </c>
      <c r="D41" s="51">
        <f>E41+F41+H41</f>
        <v>0</v>
      </c>
      <c r="E41" s="51">
        <v>0</v>
      </c>
      <c r="F41" s="51">
        <v>0</v>
      </c>
      <c r="G41" s="51" t="s">
        <v>51</v>
      </c>
      <c r="H41" s="51">
        <v>0</v>
      </c>
      <c r="I41" s="51"/>
      <c r="J41" s="182"/>
      <c r="K41" s="183"/>
      <c r="L41" s="183"/>
    </row>
    <row r="42" spans="1:12" s="166" customFormat="1" ht="51.75" customHeight="1" thickBot="1">
      <c r="A42" s="49" t="s">
        <v>73</v>
      </c>
      <c r="B42" s="63" t="s">
        <v>225</v>
      </c>
      <c r="C42" s="143">
        <v>853</v>
      </c>
      <c r="D42" s="51">
        <f>E42+F42+H42</f>
        <v>0</v>
      </c>
      <c r="E42" s="51">
        <v>0</v>
      </c>
      <c r="F42" s="51">
        <v>0</v>
      </c>
      <c r="G42" s="51" t="s">
        <v>51</v>
      </c>
      <c r="H42" s="51">
        <v>0</v>
      </c>
      <c r="I42" s="51"/>
      <c r="J42" s="182"/>
      <c r="K42" s="183"/>
      <c r="L42" s="183"/>
    </row>
    <row r="43" spans="1:12" s="32" customFormat="1" ht="57" thickBot="1">
      <c r="A43" s="64" t="s">
        <v>74</v>
      </c>
      <c r="B43" s="65" t="s">
        <v>226</v>
      </c>
      <c r="C43" s="66">
        <v>400</v>
      </c>
      <c r="D43" s="67">
        <f>D44+D46</f>
        <v>0</v>
      </c>
      <c r="E43" s="67">
        <f>E44+E46</f>
        <v>0</v>
      </c>
      <c r="F43" s="67">
        <f>F44+F46</f>
        <v>0</v>
      </c>
      <c r="G43" s="67">
        <f>G44+G46</f>
        <v>0</v>
      </c>
      <c r="H43" s="67">
        <f>H44+H46</f>
        <v>0</v>
      </c>
      <c r="I43" s="67"/>
      <c r="J43" s="187"/>
      <c r="K43" s="188"/>
      <c r="L43" s="188"/>
    </row>
    <row r="44" spans="1:12" s="166" customFormat="1" ht="18.75">
      <c r="A44" s="61" t="s">
        <v>4</v>
      </c>
      <c r="B44" s="280" t="s">
        <v>227</v>
      </c>
      <c r="C44" s="282">
        <v>416</v>
      </c>
      <c r="D44" s="278">
        <f>E44+F44+G44+H44</f>
        <v>0</v>
      </c>
      <c r="E44" s="278">
        <v>0</v>
      </c>
      <c r="F44" s="278">
        <v>0</v>
      </c>
      <c r="G44" s="278">
        <v>0</v>
      </c>
      <c r="H44" s="278">
        <v>0</v>
      </c>
      <c r="I44" s="278"/>
      <c r="J44" s="182"/>
      <c r="K44" s="183"/>
      <c r="L44" s="183"/>
    </row>
    <row r="45" spans="1:12" s="166" customFormat="1" ht="93.75">
      <c r="A45" s="131" t="s">
        <v>75</v>
      </c>
      <c r="B45" s="285"/>
      <c r="C45" s="286"/>
      <c r="D45" s="284"/>
      <c r="E45" s="284"/>
      <c r="F45" s="284"/>
      <c r="G45" s="284"/>
      <c r="H45" s="284"/>
      <c r="I45" s="284"/>
      <c r="J45" s="182"/>
      <c r="K45" s="183"/>
      <c r="L45" s="183"/>
    </row>
    <row r="46" spans="1:12" s="166" customFormat="1" ht="93.75">
      <c r="A46" s="132" t="s">
        <v>76</v>
      </c>
      <c r="B46" s="133" t="s">
        <v>228</v>
      </c>
      <c r="C46" s="134">
        <v>417</v>
      </c>
      <c r="D46" s="135">
        <f>E46+F46+G46+H46</f>
        <v>0</v>
      </c>
      <c r="E46" s="135">
        <v>0</v>
      </c>
      <c r="F46" s="135">
        <v>0</v>
      </c>
      <c r="G46" s="135">
        <v>0</v>
      </c>
      <c r="H46" s="135">
        <v>0</v>
      </c>
      <c r="I46" s="135"/>
      <c r="J46" s="182"/>
      <c r="K46" s="183"/>
      <c r="L46" s="183"/>
    </row>
    <row r="47" spans="1:14" s="32" customFormat="1" ht="58.5" customHeight="1" thickBot="1">
      <c r="A47" s="136" t="s">
        <v>77</v>
      </c>
      <c r="B47" s="137" t="s">
        <v>229</v>
      </c>
      <c r="C47" s="138">
        <v>200</v>
      </c>
      <c r="D47" s="139">
        <f>D48+D50</f>
        <v>13099884.030000001</v>
      </c>
      <c r="E47" s="139">
        <f>E48+E50</f>
        <v>6344205.03</v>
      </c>
      <c r="F47" s="139">
        <f>F48+F50</f>
        <v>0</v>
      </c>
      <c r="G47" s="139">
        <f>G48+G50</f>
        <v>0</v>
      </c>
      <c r="H47" s="139">
        <f>H48+H50</f>
        <v>6755679</v>
      </c>
      <c r="I47" s="139"/>
      <c r="J47" s="187"/>
      <c r="K47" s="188"/>
      <c r="L47" s="188"/>
      <c r="M47" s="32" t="s">
        <v>244</v>
      </c>
      <c r="N47" s="70"/>
    </row>
    <row r="48" spans="1:14" s="166" customFormat="1" ht="18.75">
      <c r="A48" s="61" t="s">
        <v>4</v>
      </c>
      <c r="B48" s="280" t="s">
        <v>230</v>
      </c>
      <c r="C48" s="282">
        <v>243</v>
      </c>
      <c r="D48" s="278">
        <f>E48+F48+G48+H48</f>
        <v>0</v>
      </c>
      <c r="E48" s="278">
        <v>0</v>
      </c>
      <c r="F48" s="278">
        <v>0</v>
      </c>
      <c r="G48" s="278">
        <v>0</v>
      </c>
      <c r="H48" s="278">
        <v>0</v>
      </c>
      <c r="I48" s="278"/>
      <c r="J48" s="182"/>
      <c r="K48" s="183"/>
      <c r="L48" s="183"/>
      <c r="N48" s="60"/>
    </row>
    <row r="49" spans="1:12" s="166" customFormat="1" ht="57" thickBot="1">
      <c r="A49" s="62" t="s">
        <v>78</v>
      </c>
      <c r="B49" s="281"/>
      <c r="C49" s="283"/>
      <c r="D49" s="279"/>
      <c r="E49" s="279"/>
      <c r="F49" s="279"/>
      <c r="G49" s="279"/>
      <c r="H49" s="279"/>
      <c r="I49" s="279"/>
      <c r="J49" s="182"/>
      <c r="K49" s="183"/>
      <c r="L49" s="183"/>
    </row>
    <row r="50" spans="1:12" s="166" customFormat="1" ht="57" thickBot="1">
      <c r="A50" s="62" t="s">
        <v>79</v>
      </c>
      <c r="B50" s="63" t="s">
        <v>231</v>
      </c>
      <c r="C50" s="143">
        <v>244</v>
      </c>
      <c r="D50" s="51">
        <f>D51+D53+D54+D55+D56+D57+D58+D59</f>
        <v>13099884.030000001</v>
      </c>
      <c r="E50" s="51">
        <f>E51+E53+E54+E55+E56+E57+E58+E59</f>
        <v>6344205.03</v>
      </c>
      <c r="F50" s="51">
        <f>F51+F53+F54+F55+F56+F57+F58+F59</f>
        <v>0</v>
      </c>
      <c r="G50" s="51">
        <f>G53+G54+G56+G57+G58+G59</f>
        <v>0</v>
      </c>
      <c r="H50" s="51">
        <f>H51+H53+H54+H55+H56+H57+H58+H59</f>
        <v>6755679</v>
      </c>
      <c r="I50" s="51"/>
      <c r="J50" s="182"/>
      <c r="K50" s="183"/>
      <c r="L50" s="183"/>
    </row>
    <row r="51" spans="1:12" s="166" customFormat="1" ht="18.75">
      <c r="A51" s="71" t="s">
        <v>4</v>
      </c>
      <c r="B51" s="280" t="s">
        <v>232</v>
      </c>
      <c r="C51" s="282">
        <v>244</v>
      </c>
      <c r="D51" s="278">
        <f>E51+F51+H51</f>
        <v>24000</v>
      </c>
      <c r="E51" s="278">
        <f>' Мун. 2018'!F90</f>
        <v>24000</v>
      </c>
      <c r="F51" s="278">
        <v>0</v>
      </c>
      <c r="G51" s="278" t="s">
        <v>51</v>
      </c>
      <c r="H51" s="278">
        <v>0</v>
      </c>
      <c r="I51" s="278"/>
      <c r="J51" s="182"/>
      <c r="K51" s="183"/>
      <c r="L51" s="183"/>
    </row>
    <row r="52" spans="1:12" s="166" customFormat="1" ht="32.25" customHeight="1" thickBot="1">
      <c r="A52" s="72" t="s">
        <v>80</v>
      </c>
      <c r="B52" s="281"/>
      <c r="C52" s="283"/>
      <c r="D52" s="279"/>
      <c r="E52" s="279"/>
      <c r="F52" s="279"/>
      <c r="G52" s="279"/>
      <c r="H52" s="279"/>
      <c r="I52" s="279"/>
      <c r="J52" s="182"/>
      <c r="K52" s="183"/>
      <c r="L52" s="183"/>
    </row>
    <row r="53" spans="1:12" s="166" customFormat="1" ht="33" customHeight="1" thickBot="1">
      <c r="A53" s="72" t="s">
        <v>81</v>
      </c>
      <c r="B53" s="63" t="s">
        <v>233</v>
      </c>
      <c r="C53" s="143">
        <v>244</v>
      </c>
      <c r="D53" s="51">
        <f>E53+F53+G53+H53</f>
        <v>38000</v>
      </c>
      <c r="E53" s="51">
        <f>' Мун. 2018'!E97</f>
        <v>38000</v>
      </c>
      <c r="F53" s="51">
        <v>0</v>
      </c>
      <c r="G53" s="51">
        <v>0</v>
      </c>
      <c r="H53" s="51">
        <v>0</v>
      </c>
      <c r="I53" s="51"/>
      <c r="J53" s="182"/>
      <c r="K53" s="183"/>
      <c r="L53" s="183"/>
    </row>
    <row r="54" spans="1:12" s="166" customFormat="1" ht="32.25" customHeight="1" thickBot="1">
      <c r="A54" s="72" t="s">
        <v>82</v>
      </c>
      <c r="B54" s="63" t="s">
        <v>233</v>
      </c>
      <c r="C54" s="143">
        <v>244</v>
      </c>
      <c r="D54" s="51">
        <f>E54+F54+G54+H54</f>
        <v>3261095.96</v>
      </c>
      <c r="E54" s="51">
        <f>' Мун. 2018'!G109</f>
        <v>3261095.96</v>
      </c>
      <c r="F54" s="51">
        <v>0</v>
      </c>
      <c r="G54" s="51">
        <v>0</v>
      </c>
      <c r="H54" s="51">
        <v>0</v>
      </c>
      <c r="I54" s="51"/>
      <c r="J54" s="182"/>
      <c r="K54" s="183"/>
      <c r="L54" s="183"/>
    </row>
    <row r="55" spans="1:12" s="166" customFormat="1" ht="51.75" customHeight="1" thickBot="1">
      <c r="A55" s="72" t="s">
        <v>83</v>
      </c>
      <c r="B55" s="63" t="s">
        <v>234</v>
      </c>
      <c r="C55" s="143">
        <v>244</v>
      </c>
      <c r="D55" s="51">
        <f>E55+F55+H55</f>
        <v>0</v>
      </c>
      <c r="E55" s="51">
        <v>0</v>
      </c>
      <c r="F55" s="51">
        <v>0</v>
      </c>
      <c r="G55" s="51" t="s">
        <v>51</v>
      </c>
      <c r="H55" s="51">
        <v>0</v>
      </c>
      <c r="I55" s="51"/>
      <c r="J55" s="182"/>
      <c r="K55" s="183"/>
      <c r="L55" s="183"/>
    </row>
    <row r="56" spans="1:12" s="166" customFormat="1" ht="48" customHeight="1" thickBot="1">
      <c r="A56" s="72" t="s">
        <v>84</v>
      </c>
      <c r="B56" s="63" t="s">
        <v>235</v>
      </c>
      <c r="C56" s="143">
        <v>244</v>
      </c>
      <c r="D56" s="51">
        <f aca="true" t="shared" si="0" ref="D56:D61">E56+F56+G56+H56</f>
        <v>1297822.24</v>
      </c>
      <c r="E56" s="51">
        <f>' Мун. 2018'!E137</f>
        <v>1297822.24</v>
      </c>
      <c r="F56" s="51">
        <v>0</v>
      </c>
      <c r="G56" s="51">
        <v>0</v>
      </c>
      <c r="H56" s="51">
        <v>0</v>
      </c>
      <c r="I56" s="51"/>
      <c r="J56" s="182"/>
      <c r="K56" s="183"/>
      <c r="L56" s="183"/>
    </row>
    <row r="57" spans="1:12" s="166" customFormat="1" ht="34.5" customHeight="1" thickBot="1">
      <c r="A57" s="72" t="s">
        <v>85</v>
      </c>
      <c r="B57" s="63" t="s">
        <v>236</v>
      </c>
      <c r="C57" s="143">
        <v>244</v>
      </c>
      <c r="D57" s="51">
        <f t="shared" si="0"/>
        <v>782968</v>
      </c>
      <c r="E57" s="51">
        <f>' Мун. 2018'!D151</f>
        <v>643000</v>
      </c>
      <c r="F57" s="51">
        <v>0</v>
      </c>
      <c r="G57" s="51">
        <v>0</v>
      </c>
      <c r="H57" s="51">
        <f>' ПДД 2018'!D141</f>
        <v>139968</v>
      </c>
      <c r="I57" s="51"/>
      <c r="J57" s="182"/>
      <c r="K57" s="183"/>
      <c r="L57" s="183"/>
    </row>
    <row r="58" spans="1:12" s="166" customFormat="1" ht="51" customHeight="1" thickBot="1">
      <c r="A58" s="72" t="s">
        <v>86</v>
      </c>
      <c r="B58" s="63" t="s">
        <v>237</v>
      </c>
      <c r="C58" s="143">
        <v>244</v>
      </c>
      <c r="D58" s="51">
        <f t="shared" si="0"/>
        <v>50000</v>
      </c>
      <c r="E58" s="51">
        <f>' Мун. 2018'!E159</f>
        <v>0</v>
      </c>
      <c r="F58" s="51">
        <v>0</v>
      </c>
      <c r="G58" s="51">
        <v>0</v>
      </c>
      <c r="H58" s="51">
        <f>' ПДД 2018'!E154</f>
        <v>50000</v>
      </c>
      <c r="I58" s="51"/>
      <c r="J58" s="182"/>
      <c r="K58" s="183"/>
      <c r="L58" s="183"/>
    </row>
    <row r="59" spans="1:12" s="166" customFormat="1" ht="49.5" customHeight="1" thickBot="1">
      <c r="A59" s="72" t="s">
        <v>87</v>
      </c>
      <c r="B59" s="63" t="s">
        <v>238</v>
      </c>
      <c r="C59" s="143">
        <v>244</v>
      </c>
      <c r="D59" s="51">
        <f t="shared" si="0"/>
        <v>7645997.83</v>
      </c>
      <c r="E59" s="51">
        <f>' Мун. 2018'!E163</f>
        <v>1080286.83</v>
      </c>
      <c r="F59" s="51">
        <v>0</v>
      </c>
      <c r="G59" s="51">
        <v>0</v>
      </c>
      <c r="H59" s="51">
        <f>' ПДД 2018'!E165+' ПДД 2018'!E156</f>
        <v>6565711</v>
      </c>
      <c r="I59" s="51"/>
      <c r="J59" s="182"/>
      <c r="K59" s="183"/>
      <c r="L59" s="183"/>
    </row>
    <row r="60" spans="1:9" ht="38.25" thickBot="1">
      <c r="A60" s="31" t="s">
        <v>88</v>
      </c>
      <c r="B60" s="30" t="s">
        <v>239</v>
      </c>
      <c r="C60" s="171">
        <v>500</v>
      </c>
      <c r="D60" s="51">
        <f t="shared" si="0"/>
        <v>58935293.00450401</v>
      </c>
      <c r="E60" s="51">
        <f>E12</f>
        <v>50809614.00450401</v>
      </c>
      <c r="F60" s="51">
        <f>F12</f>
        <v>1370000</v>
      </c>
      <c r="G60" s="51">
        <f>G12</f>
        <v>0</v>
      </c>
      <c r="H60" s="51">
        <f>H12</f>
        <v>6755679</v>
      </c>
      <c r="I60" s="51"/>
    </row>
    <row r="61" spans="1:9" ht="38.25" thickBot="1">
      <c r="A61" s="31" t="s">
        <v>89</v>
      </c>
      <c r="B61" s="30" t="s">
        <v>240</v>
      </c>
      <c r="C61" s="171">
        <v>600</v>
      </c>
      <c r="D61" s="51">
        <f t="shared" si="0"/>
        <v>58935293.00450401</v>
      </c>
      <c r="E61" s="51">
        <f>E27</f>
        <v>50809614.00450401</v>
      </c>
      <c r="F61" s="51">
        <f>F27</f>
        <v>1370000</v>
      </c>
      <c r="G61" s="51">
        <f>G27</f>
        <v>0</v>
      </c>
      <c r="H61" s="51">
        <f>H27</f>
        <v>6755679</v>
      </c>
      <c r="I61" s="51"/>
    </row>
    <row r="62" spans="1:9" ht="33" customHeight="1" thickBot="1">
      <c r="A62" s="31" t="s">
        <v>90</v>
      </c>
      <c r="B62" s="30" t="s">
        <v>241</v>
      </c>
      <c r="C62" s="171">
        <v>600</v>
      </c>
      <c r="D62" s="51">
        <f>E62+H62</f>
        <v>0</v>
      </c>
      <c r="E62" s="51">
        <v>0</v>
      </c>
      <c r="F62" s="51">
        <v>0</v>
      </c>
      <c r="G62" s="51">
        <v>0</v>
      </c>
      <c r="H62" s="51">
        <v>0</v>
      </c>
      <c r="I62" s="51"/>
    </row>
    <row r="63" spans="5:8" ht="15">
      <c r="E63" s="60"/>
      <c r="F63" s="60"/>
      <c r="G63" s="60"/>
      <c r="H63" s="60"/>
    </row>
    <row r="64" spans="1:12" ht="15">
      <c r="A64" s="152"/>
      <c r="B64" s="152"/>
      <c r="C64" s="152"/>
      <c r="D64" s="163"/>
      <c r="E64" s="180"/>
      <c r="F64" s="180"/>
      <c r="G64" s="180"/>
      <c r="H64" s="180"/>
      <c r="I64" s="163"/>
      <c r="J64" s="192"/>
      <c r="K64" s="193"/>
      <c r="L64" s="193"/>
    </row>
    <row r="65" spans="1:12" s="166" customFormat="1" ht="35.25" customHeight="1">
      <c r="A65" s="265"/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</row>
    <row r="66" spans="1:12" s="166" customFormat="1" ht="18.75">
      <c r="A66" s="265"/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</row>
    <row r="67" spans="1:12" s="166" customFormat="1" ht="15">
      <c r="A67" s="163"/>
      <c r="B67" s="163"/>
      <c r="C67" s="163"/>
      <c r="D67" s="163"/>
      <c r="E67" s="163"/>
      <c r="F67" s="163"/>
      <c r="G67" s="163"/>
      <c r="H67" s="163"/>
      <c r="I67" s="163"/>
      <c r="J67" s="192"/>
      <c r="K67" s="193"/>
      <c r="L67" s="193"/>
    </row>
    <row r="68" spans="1:12" s="166" customFormat="1" ht="18.75">
      <c r="A68" s="267"/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</row>
    <row r="69" spans="1:12" s="166" customFormat="1" ht="18.75">
      <c r="A69" s="267"/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</row>
    <row r="70" spans="1:12" s="166" customFormat="1" ht="65.25" customHeight="1">
      <c r="A70" s="267"/>
      <c r="B70" s="267"/>
      <c r="C70" s="267"/>
      <c r="D70" s="267"/>
      <c r="E70" s="267"/>
      <c r="F70" s="267"/>
      <c r="G70" s="272"/>
      <c r="H70" s="272"/>
      <c r="I70" s="272"/>
      <c r="J70" s="273"/>
      <c r="K70" s="273"/>
      <c r="L70" s="273"/>
    </row>
    <row r="71" spans="1:12" s="166" customFormat="1" ht="71.25" customHeight="1">
      <c r="A71" s="267"/>
      <c r="B71" s="267"/>
      <c r="C71" s="267"/>
      <c r="D71" s="154"/>
      <c r="E71" s="154"/>
      <c r="F71" s="154"/>
      <c r="G71" s="154"/>
      <c r="H71" s="154"/>
      <c r="I71" s="154"/>
      <c r="J71" s="194"/>
      <c r="K71" s="195"/>
      <c r="L71" s="195"/>
    </row>
    <row r="72" spans="1:12" s="166" customFormat="1" ht="18.75">
      <c r="A72" s="164"/>
      <c r="B72" s="164"/>
      <c r="C72" s="164"/>
      <c r="D72" s="164"/>
      <c r="E72" s="164"/>
      <c r="F72" s="164"/>
      <c r="G72" s="164"/>
      <c r="H72" s="164"/>
      <c r="I72" s="164"/>
      <c r="J72" s="196"/>
      <c r="K72" s="197"/>
      <c r="L72" s="197"/>
    </row>
    <row r="73" spans="1:13" s="166" customFormat="1" ht="18.75">
      <c r="A73" s="52"/>
      <c r="B73" s="156"/>
      <c r="C73" s="164"/>
      <c r="D73" s="157"/>
      <c r="E73" s="157"/>
      <c r="F73" s="157"/>
      <c r="G73" s="157"/>
      <c r="H73" s="157"/>
      <c r="I73" s="157"/>
      <c r="J73" s="198"/>
      <c r="K73" s="199"/>
      <c r="L73" s="199"/>
      <c r="M73" s="166" t="s">
        <v>243</v>
      </c>
    </row>
    <row r="74" spans="1:12" s="166" customFormat="1" ht="81.75" customHeight="1">
      <c r="A74" s="52"/>
      <c r="B74" s="164"/>
      <c r="C74" s="164"/>
      <c r="D74" s="157"/>
      <c r="E74" s="157"/>
      <c r="F74" s="157"/>
      <c r="G74" s="157"/>
      <c r="H74" s="157"/>
      <c r="I74" s="157"/>
      <c r="J74" s="198"/>
      <c r="K74" s="199"/>
      <c r="L74" s="199"/>
    </row>
    <row r="75" spans="1:12" s="166" customFormat="1" ht="61.5" customHeight="1">
      <c r="A75" s="52"/>
      <c r="B75" s="164"/>
      <c r="C75" s="52"/>
      <c r="D75" s="157"/>
      <c r="E75" s="157"/>
      <c r="F75" s="157"/>
      <c r="G75" s="157"/>
      <c r="H75" s="157"/>
      <c r="I75" s="157"/>
      <c r="J75" s="198"/>
      <c r="K75" s="199"/>
      <c r="L75" s="199"/>
    </row>
    <row r="76" spans="1:12" s="166" customFormat="1" ht="15">
      <c r="A76" s="163"/>
      <c r="B76" s="163"/>
      <c r="C76" s="163"/>
      <c r="D76" s="163"/>
      <c r="E76" s="163"/>
      <c r="F76" s="163"/>
      <c r="G76" s="163"/>
      <c r="H76" s="163"/>
      <c r="I76" s="163"/>
      <c r="J76" s="192"/>
      <c r="K76" s="193"/>
      <c r="L76" s="193"/>
    </row>
    <row r="77" spans="1:12" s="166" customFormat="1" ht="15">
      <c r="A77" s="163"/>
      <c r="B77" s="163"/>
      <c r="C77" s="163"/>
      <c r="D77" s="163"/>
      <c r="E77" s="163"/>
      <c r="F77" s="163"/>
      <c r="G77" s="163"/>
      <c r="H77" s="163"/>
      <c r="I77" s="163"/>
      <c r="J77" s="192"/>
      <c r="K77" s="193"/>
      <c r="L77" s="193"/>
    </row>
    <row r="78" spans="1:12" s="166" customFormat="1" ht="45" customHeight="1">
      <c r="A78" s="163"/>
      <c r="B78" s="265"/>
      <c r="C78" s="265"/>
      <c r="D78" s="265"/>
      <c r="E78" s="265"/>
      <c r="F78" s="265"/>
      <c r="G78" s="163"/>
      <c r="H78" s="163"/>
      <c r="I78" s="163"/>
      <c r="J78" s="192"/>
      <c r="K78" s="193"/>
      <c r="L78" s="193"/>
    </row>
    <row r="79" spans="1:12" s="166" customFormat="1" ht="18.75" customHeight="1">
      <c r="A79" s="163"/>
      <c r="B79" s="265"/>
      <c r="C79" s="265"/>
      <c r="D79" s="265"/>
      <c r="E79" s="265"/>
      <c r="F79" s="265"/>
      <c r="G79" s="163"/>
      <c r="H79" s="163"/>
      <c r="I79" s="163"/>
      <c r="J79" s="192"/>
      <c r="K79" s="193"/>
      <c r="L79" s="193"/>
    </row>
    <row r="80" spans="1:12" s="166" customFormat="1" ht="15">
      <c r="A80" s="163"/>
      <c r="B80" s="266"/>
      <c r="C80" s="266"/>
      <c r="D80" s="266"/>
      <c r="E80" s="266"/>
      <c r="F80" s="266"/>
      <c r="G80" s="163"/>
      <c r="H80" s="163"/>
      <c r="I80" s="163"/>
      <c r="J80" s="192"/>
      <c r="K80" s="193"/>
      <c r="L80" s="193"/>
    </row>
    <row r="81" spans="1:12" s="166" customFormat="1" ht="18.75">
      <c r="A81" s="163"/>
      <c r="B81" s="164"/>
      <c r="C81" s="164"/>
      <c r="D81" s="164"/>
      <c r="E81" s="163"/>
      <c r="F81" s="164"/>
      <c r="G81" s="163"/>
      <c r="H81" s="163"/>
      <c r="I81" s="163"/>
      <c r="J81" s="192"/>
      <c r="K81" s="193"/>
      <c r="L81" s="193"/>
    </row>
    <row r="82" spans="1:12" s="166" customFormat="1" ht="18.75">
      <c r="A82" s="163"/>
      <c r="B82" s="163"/>
      <c r="C82" s="267"/>
      <c r="D82" s="267"/>
      <c r="E82" s="164"/>
      <c r="F82" s="163"/>
      <c r="G82" s="163"/>
      <c r="H82" s="163"/>
      <c r="I82" s="163"/>
      <c r="J82" s="192"/>
      <c r="K82" s="193"/>
      <c r="L82" s="193"/>
    </row>
    <row r="83" spans="1:12" s="166" customFormat="1" ht="18.75">
      <c r="A83" s="163"/>
      <c r="B83" s="163"/>
      <c r="C83" s="267"/>
      <c r="D83" s="267"/>
      <c r="E83" s="164"/>
      <c r="F83" s="163"/>
      <c r="G83" s="163"/>
      <c r="H83" s="163"/>
      <c r="I83" s="163"/>
      <c r="J83" s="192"/>
      <c r="K83" s="193"/>
      <c r="L83" s="193"/>
    </row>
    <row r="84" spans="1:12" s="166" customFormat="1" ht="18.75">
      <c r="A84" s="163"/>
      <c r="B84" s="163"/>
      <c r="C84" s="164"/>
      <c r="D84" s="164"/>
      <c r="E84" s="164"/>
      <c r="F84" s="163"/>
      <c r="G84" s="163"/>
      <c r="H84" s="163"/>
      <c r="I84" s="163"/>
      <c r="J84" s="192"/>
      <c r="K84" s="193"/>
      <c r="L84" s="193"/>
    </row>
    <row r="85" spans="1:12" s="166" customFormat="1" ht="18.75">
      <c r="A85" s="163"/>
      <c r="B85" s="163"/>
      <c r="C85" s="52"/>
      <c r="D85" s="156"/>
      <c r="E85" s="181"/>
      <c r="F85" s="163"/>
      <c r="G85" s="163"/>
      <c r="H85" s="163"/>
      <c r="I85" s="163"/>
      <c r="J85" s="192"/>
      <c r="K85" s="193"/>
      <c r="L85" s="193"/>
    </row>
    <row r="86" spans="1:12" s="166" customFormat="1" ht="18.75">
      <c r="A86" s="163"/>
      <c r="B86" s="163"/>
      <c r="C86" s="52"/>
      <c r="D86" s="156"/>
      <c r="E86" s="52"/>
      <c r="F86" s="163"/>
      <c r="G86" s="163"/>
      <c r="H86" s="163"/>
      <c r="I86" s="163"/>
      <c r="J86" s="192"/>
      <c r="K86" s="193"/>
      <c r="L86" s="193"/>
    </row>
    <row r="87" spans="1:12" s="166" customFormat="1" ht="18.75">
      <c r="A87" s="163"/>
      <c r="B87" s="163"/>
      <c r="C87" s="52"/>
      <c r="D87" s="156"/>
      <c r="E87" s="52"/>
      <c r="F87" s="163"/>
      <c r="G87" s="163"/>
      <c r="H87" s="163"/>
      <c r="I87" s="163"/>
      <c r="J87" s="192"/>
      <c r="K87" s="193"/>
      <c r="L87" s="193"/>
    </row>
    <row r="88" spans="1:12" s="166" customFormat="1" ht="18.75">
      <c r="A88" s="163"/>
      <c r="B88" s="163"/>
      <c r="C88" s="52"/>
      <c r="D88" s="158"/>
      <c r="E88" s="52"/>
      <c r="F88" s="163"/>
      <c r="G88" s="163"/>
      <c r="H88" s="163"/>
      <c r="I88" s="163"/>
      <c r="J88" s="192"/>
      <c r="K88" s="193"/>
      <c r="L88" s="193"/>
    </row>
    <row r="89" spans="1:12" s="166" customFormat="1" ht="18.75">
      <c r="A89" s="163"/>
      <c r="B89" s="163"/>
      <c r="C89" s="52"/>
      <c r="D89" s="156"/>
      <c r="E89" s="52"/>
      <c r="F89" s="163"/>
      <c r="G89" s="163"/>
      <c r="H89" s="163"/>
      <c r="I89" s="163"/>
      <c r="J89" s="192"/>
      <c r="K89" s="193"/>
      <c r="L89" s="193"/>
    </row>
    <row r="90" spans="1:12" s="166" customFormat="1" ht="18.75">
      <c r="A90" s="163"/>
      <c r="B90" s="163"/>
      <c r="C90" s="52"/>
      <c r="D90" s="52"/>
      <c r="E90" s="52"/>
      <c r="F90" s="163"/>
      <c r="G90" s="163"/>
      <c r="H90" s="163"/>
      <c r="I90" s="163"/>
      <c r="J90" s="192"/>
      <c r="K90" s="193"/>
      <c r="L90" s="193"/>
    </row>
    <row r="91" spans="1:12" s="166" customFormat="1" ht="15">
      <c r="A91" s="163"/>
      <c r="B91" s="163"/>
      <c r="C91" s="163"/>
      <c r="D91" s="163"/>
      <c r="E91" s="163"/>
      <c r="F91" s="163"/>
      <c r="G91" s="163"/>
      <c r="H91" s="163"/>
      <c r="I91" s="163"/>
      <c r="J91" s="192"/>
      <c r="K91" s="193"/>
      <c r="L91" s="193"/>
    </row>
    <row r="92" spans="1:12" s="166" customFormat="1" ht="18.75">
      <c r="A92" s="159"/>
      <c r="B92" s="163"/>
      <c r="C92" s="163"/>
      <c r="D92" s="163"/>
      <c r="E92" s="163"/>
      <c r="F92" s="163"/>
      <c r="G92" s="163"/>
      <c r="H92" s="163"/>
      <c r="I92" s="163"/>
      <c r="J92" s="192"/>
      <c r="K92" s="193"/>
      <c r="L92" s="193"/>
    </row>
    <row r="93" spans="1:12" s="166" customFormat="1" ht="83.25" customHeight="1">
      <c r="A93" s="275"/>
      <c r="B93" s="275"/>
      <c r="C93" s="277"/>
      <c r="D93" s="277"/>
      <c r="E93" s="276"/>
      <c r="F93" s="276"/>
      <c r="G93" s="163"/>
      <c r="H93" s="163"/>
      <c r="I93" s="163"/>
      <c r="J93" s="192"/>
      <c r="K93" s="193"/>
      <c r="L93" s="193"/>
    </row>
    <row r="94" spans="1:12" s="166" customFormat="1" ht="26.25" customHeight="1">
      <c r="A94" s="159"/>
      <c r="B94" s="163"/>
      <c r="C94" s="271"/>
      <c r="D94" s="271"/>
      <c r="E94" s="163"/>
      <c r="F94" s="163"/>
      <c r="G94" s="163"/>
      <c r="H94" s="163"/>
      <c r="I94" s="163"/>
      <c r="J94" s="192"/>
      <c r="K94" s="193"/>
      <c r="L94" s="193"/>
    </row>
    <row r="95" spans="1:12" s="166" customFormat="1" ht="18.75">
      <c r="A95" s="159"/>
      <c r="B95" s="163"/>
      <c r="C95" s="163"/>
      <c r="D95" s="160"/>
      <c r="E95" s="163"/>
      <c r="F95" s="163"/>
      <c r="G95" s="163"/>
      <c r="H95" s="163"/>
      <c r="I95" s="163"/>
      <c r="J95" s="192"/>
      <c r="K95" s="193"/>
      <c r="L95" s="193"/>
    </row>
    <row r="96" spans="1:12" s="166" customFormat="1" ht="18.75">
      <c r="A96" s="159"/>
      <c r="B96" s="163"/>
      <c r="C96" s="163"/>
      <c r="D96" s="163"/>
      <c r="E96" s="163"/>
      <c r="F96" s="163"/>
      <c r="G96" s="163"/>
      <c r="H96" s="163"/>
      <c r="I96" s="163"/>
      <c r="J96" s="192"/>
      <c r="K96" s="193"/>
      <c r="L96" s="193"/>
    </row>
    <row r="97" spans="1:12" s="166" customFormat="1" ht="18.75">
      <c r="A97" s="159"/>
      <c r="B97" s="163"/>
      <c r="C97" s="163"/>
      <c r="D97" s="163"/>
      <c r="E97" s="163"/>
      <c r="F97" s="163"/>
      <c r="G97" s="163"/>
      <c r="H97" s="163"/>
      <c r="I97" s="163"/>
      <c r="J97" s="192"/>
      <c r="K97" s="193"/>
      <c r="L97" s="193"/>
    </row>
    <row r="98" spans="1:12" s="166" customFormat="1" ht="37.5" customHeight="1">
      <c r="A98" s="159"/>
      <c r="B98" s="163"/>
      <c r="C98" s="274"/>
      <c r="D98" s="274"/>
      <c r="E98" s="276"/>
      <c r="F98" s="276"/>
      <c r="G98" s="163"/>
      <c r="H98" s="163"/>
      <c r="I98" s="163"/>
      <c r="J98" s="192"/>
      <c r="K98" s="193"/>
      <c r="L98" s="193"/>
    </row>
    <row r="99" spans="1:12" s="166" customFormat="1" ht="45" customHeight="1">
      <c r="A99" s="159"/>
      <c r="B99" s="163"/>
      <c r="C99" s="271"/>
      <c r="D99" s="271"/>
      <c r="E99" s="163"/>
      <c r="F99" s="163"/>
      <c r="G99" s="163"/>
      <c r="H99" s="163"/>
      <c r="I99" s="163"/>
      <c r="J99" s="192"/>
      <c r="K99" s="193"/>
      <c r="L99" s="193"/>
    </row>
    <row r="1206" ht="15"/>
  </sheetData>
  <sheetProtection/>
  <mergeCells count="124">
    <mergeCell ref="A3:I3"/>
    <mergeCell ref="A4:I4"/>
    <mergeCell ref="A6:A9"/>
    <mergeCell ref="B6:B9"/>
    <mergeCell ref="C6:C9"/>
    <mergeCell ref="D6:I6"/>
    <mergeCell ref="D7:D9"/>
    <mergeCell ref="E7:I7"/>
    <mergeCell ref="E8:E9"/>
    <mergeCell ref="F8:F9"/>
    <mergeCell ref="G8:G9"/>
    <mergeCell ref="H8:I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M13:M16"/>
    <mergeCell ref="B15:B16"/>
    <mergeCell ref="C15:C16"/>
    <mergeCell ref="D15:D16"/>
    <mergeCell ref="E15:E16"/>
    <mergeCell ref="F15:F16"/>
    <mergeCell ref="G15:G16"/>
    <mergeCell ref="H15:H16"/>
    <mergeCell ref="I15:I16"/>
    <mergeCell ref="B18:B19"/>
    <mergeCell ref="C18:C19"/>
    <mergeCell ref="D18:D19"/>
    <mergeCell ref="E18:E19"/>
    <mergeCell ref="F18:F19"/>
    <mergeCell ref="G18:G19"/>
    <mergeCell ref="H18:H19"/>
    <mergeCell ref="I18:I19"/>
    <mergeCell ref="B21:B22"/>
    <mergeCell ref="C21:C22"/>
    <mergeCell ref="D21:D22"/>
    <mergeCell ref="E21:E22"/>
    <mergeCell ref="F21:F22"/>
    <mergeCell ref="G21:G22"/>
    <mergeCell ref="H21:H22"/>
    <mergeCell ref="I21:I22"/>
    <mergeCell ref="B28:B29"/>
    <mergeCell ref="C28:C29"/>
    <mergeCell ref="D28:D29"/>
    <mergeCell ref="E28:E29"/>
    <mergeCell ref="F28:F29"/>
    <mergeCell ref="G28:G29"/>
    <mergeCell ref="H28:H29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B35:B36"/>
    <mergeCell ref="C35:C36"/>
    <mergeCell ref="D35:D36"/>
    <mergeCell ref="E35:E36"/>
    <mergeCell ref="F35:F36"/>
    <mergeCell ref="G35:G36"/>
    <mergeCell ref="H35:H36"/>
    <mergeCell ref="I35:I36"/>
    <mergeCell ref="B38:B39"/>
    <mergeCell ref="C38:C39"/>
    <mergeCell ref="D38:D39"/>
    <mergeCell ref="E38:E39"/>
    <mergeCell ref="F38:F39"/>
    <mergeCell ref="G38:G39"/>
    <mergeCell ref="H38:H39"/>
    <mergeCell ref="I38:I39"/>
    <mergeCell ref="B44:B45"/>
    <mergeCell ref="C44:C45"/>
    <mergeCell ref="D44:D45"/>
    <mergeCell ref="E44:E45"/>
    <mergeCell ref="F44:F45"/>
    <mergeCell ref="G44:G45"/>
    <mergeCell ref="H44:H45"/>
    <mergeCell ref="I44:I45"/>
    <mergeCell ref="B48:B49"/>
    <mergeCell ref="C48:C49"/>
    <mergeCell ref="D48:D49"/>
    <mergeCell ref="E48:E49"/>
    <mergeCell ref="F48:F49"/>
    <mergeCell ref="G48:G49"/>
    <mergeCell ref="H48:H49"/>
    <mergeCell ref="I48:I49"/>
    <mergeCell ref="B51:B52"/>
    <mergeCell ref="C51:C52"/>
    <mergeCell ref="D51:D52"/>
    <mergeCell ref="E51:E52"/>
    <mergeCell ref="F51:F52"/>
    <mergeCell ref="G51:G52"/>
    <mergeCell ref="H51:H52"/>
    <mergeCell ref="I51:I52"/>
    <mergeCell ref="A65:L65"/>
    <mergeCell ref="A66:L66"/>
    <mergeCell ref="A68:A71"/>
    <mergeCell ref="B68:B71"/>
    <mergeCell ref="C68:C71"/>
    <mergeCell ref="D68:L68"/>
    <mergeCell ref="D69:F70"/>
    <mergeCell ref="G69:L69"/>
    <mergeCell ref="G70:I70"/>
    <mergeCell ref="J70:L70"/>
    <mergeCell ref="B78:F78"/>
    <mergeCell ref="B79:F79"/>
    <mergeCell ref="B80:F80"/>
    <mergeCell ref="C82:C83"/>
    <mergeCell ref="D82:D83"/>
    <mergeCell ref="C99:D99"/>
    <mergeCell ref="A93:B93"/>
    <mergeCell ref="C93:D93"/>
    <mergeCell ref="E93:F93"/>
    <mergeCell ref="C94:D94"/>
    <mergeCell ref="C98:D98"/>
    <mergeCell ref="E98:F98"/>
  </mergeCells>
  <hyperlinks>
    <hyperlink ref="A6" location="Par1206" display="Par1206"/>
    <hyperlink ref="F8" r:id="rId1" display="consultantplus://offline/ref=EC513630DD0A2F9B2EC0205798B851993A5251D08ECB4308CDDA19182ECC2154EE9666852E0BHBNDC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2"/>
  <rowBreaks count="3" manualBreakCount="3">
    <brk id="24" max="8" man="1"/>
    <brk id="40" max="8" man="1"/>
    <brk id="56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S168"/>
  <sheetViews>
    <sheetView view="pageBreakPreview" zoomScale="60" zoomScaleNormal="60" zoomScalePageLayoutView="0" workbookViewId="0" topLeftCell="A3">
      <selection activeCell="A118" sqref="A1:IV16384"/>
    </sheetView>
  </sheetViews>
  <sheetFormatPr defaultColWidth="9.140625" defaultRowHeight="15"/>
  <cols>
    <col min="1" max="1" width="8.57421875" style="89" customWidth="1"/>
    <col min="2" max="2" width="30.140625" style="89" customWidth="1"/>
    <col min="3" max="3" width="21.140625" style="89" customWidth="1"/>
    <col min="4" max="4" width="18.28125" style="89" customWidth="1"/>
    <col min="5" max="5" width="20.7109375" style="89" customWidth="1"/>
    <col min="6" max="6" width="21.421875" style="89" customWidth="1"/>
    <col min="7" max="7" width="23.00390625" style="89" customWidth="1"/>
    <col min="8" max="8" width="15.421875" style="89" customWidth="1"/>
    <col min="9" max="9" width="15.00390625" style="89" customWidth="1"/>
    <col min="10" max="10" width="21.140625" style="89" customWidth="1"/>
    <col min="11" max="11" width="9.140625" style="174" customWidth="1"/>
    <col min="12" max="12" width="25.8515625" style="174" customWidth="1"/>
    <col min="13" max="13" width="18.7109375" style="174" customWidth="1"/>
    <col min="14" max="14" width="24.7109375" style="174" bestFit="1" customWidth="1"/>
    <col min="15" max="15" width="24.8515625" style="174" customWidth="1"/>
    <col min="16" max="17" width="9.140625" style="174" customWidth="1"/>
    <col min="18" max="19" width="13.421875" style="174" bestFit="1" customWidth="1"/>
    <col min="20" max="16384" width="9.140625" style="89" customWidth="1"/>
  </cols>
  <sheetData>
    <row r="1" ht="18.75">
      <c r="J1" s="227" t="s">
        <v>118</v>
      </c>
    </row>
    <row r="2" ht="18.75">
      <c r="J2" s="227" t="s">
        <v>119</v>
      </c>
    </row>
    <row r="3" ht="16.5">
      <c r="J3" s="228" t="s">
        <v>120</v>
      </c>
    </row>
    <row r="4" ht="16.5">
      <c r="J4" s="228" t="s">
        <v>121</v>
      </c>
    </row>
    <row r="5" ht="16.5">
      <c r="J5" s="228" t="s">
        <v>122</v>
      </c>
    </row>
    <row r="6" ht="16.5">
      <c r="J6" s="228" t="s">
        <v>123</v>
      </c>
    </row>
    <row r="7" ht="16.5">
      <c r="J7" s="228" t="s">
        <v>124</v>
      </c>
    </row>
    <row r="8" ht="16.5">
      <c r="J8" s="228" t="s">
        <v>125</v>
      </c>
    </row>
    <row r="11" spans="1:10" ht="15" customHeight="1">
      <c r="A11" s="307" t="s">
        <v>336</v>
      </c>
      <c r="B11" s="307"/>
      <c r="C11" s="307"/>
      <c r="D11" s="307"/>
      <c r="E11" s="307"/>
      <c r="F11" s="307"/>
      <c r="G11" s="307"/>
      <c r="H11" s="307"/>
      <c r="I11" s="307"/>
      <c r="J11" s="307"/>
    </row>
    <row r="12" spans="1:10" ht="18.75">
      <c r="A12" s="229"/>
      <c r="B12" s="229"/>
      <c r="C12" s="223"/>
      <c r="D12" s="229"/>
      <c r="E12" s="229"/>
      <c r="F12" s="229"/>
      <c r="G12" s="229"/>
      <c r="H12" s="229"/>
      <c r="I12" s="229"/>
      <c r="J12" s="229"/>
    </row>
    <row r="13" spans="1:10" ht="18.75">
      <c r="A13" s="307" t="s">
        <v>126</v>
      </c>
      <c r="B13" s="307"/>
      <c r="C13" s="307"/>
      <c r="D13" s="307"/>
      <c r="E13" s="307"/>
      <c r="F13" s="307"/>
      <c r="G13" s="307"/>
      <c r="H13" s="307"/>
      <c r="I13" s="307"/>
      <c r="J13" s="307"/>
    </row>
    <row r="14" spans="1:10" ht="15">
      <c r="A14" s="229"/>
      <c r="B14" s="229"/>
      <c r="C14" s="229"/>
      <c r="D14" s="229"/>
      <c r="E14" s="229"/>
      <c r="F14" s="229"/>
      <c r="G14" s="229"/>
      <c r="H14" s="229"/>
      <c r="I14" s="229"/>
      <c r="J14" s="229"/>
    </row>
    <row r="15" spans="1:10" ht="18.75">
      <c r="A15" s="308" t="s">
        <v>288</v>
      </c>
      <c r="B15" s="308"/>
      <c r="C15" s="308"/>
      <c r="D15" s="308"/>
      <c r="E15" s="308"/>
      <c r="F15" s="308"/>
      <c r="G15" s="308"/>
      <c r="H15" s="308"/>
      <c r="I15" s="308"/>
      <c r="J15" s="308"/>
    </row>
    <row r="16" spans="1:10" ht="21" customHeight="1">
      <c r="A16" s="308" t="s">
        <v>289</v>
      </c>
      <c r="B16" s="308"/>
      <c r="C16" s="308"/>
      <c r="D16" s="308"/>
      <c r="E16" s="308"/>
      <c r="F16" s="308"/>
      <c r="G16" s="308"/>
      <c r="H16" s="308"/>
      <c r="I16" s="308"/>
      <c r="J16" s="308"/>
    </row>
    <row r="17" ht="18.75">
      <c r="A17" s="101"/>
    </row>
    <row r="18" spans="1:10" ht="18.75">
      <c r="A18" s="307" t="s">
        <v>127</v>
      </c>
      <c r="B18" s="307"/>
      <c r="C18" s="307"/>
      <c r="D18" s="307"/>
      <c r="E18" s="307"/>
      <c r="F18" s="307"/>
      <c r="G18" s="307"/>
      <c r="H18" s="307"/>
      <c r="I18" s="307"/>
      <c r="J18" s="307"/>
    </row>
    <row r="19" ht="15.75" thickBot="1"/>
    <row r="20" spans="1:12" ht="36" customHeight="1" thickBot="1">
      <c r="A20" s="282" t="s">
        <v>0</v>
      </c>
      <c r="B20" s="282" t="s">
        <v>128</v>
      </c>
      <c r="C20" s="282" t="s">
        <v>335</v>
      </c>
      <c r="D20" s="295" t="s">
        <v>130</v>
      </c>
      <c r="E20" s="301"/>
      <c r="F20" s="301"/>
      <c r="G20" s="296"/>
      <c r="H20" s="282" t="s">
        <v>131</v>
      </c>
      <c r="I20" s="282" t="s">
        <v>132</v>
      </c>
      <c r="J20" s="282" t="s">
        <v>334</v>
      </c>
      <c r="L20" s="173"/>
    </row>
    <row r="21" spans="1:10" ht="19.5" thickBot="1">
      <c r="A21" s="286"/>
      <c r="B21" s="286"/>
      <c r="C21" s="286"/>
      <c r="D21" s="282" t="s">
        <v>134</v>
      </c>
      <c r="E21" s="295" t="s">
        <v>22</v>
      </c>
      <c r="F21" s="301"/>
      <c r="G21" s="296"/>
      <c r="H21" s="286"/>
      <c r="I21" s="286"/>
      <c r="J21" s="286"/>
    </row>
    <row r="22" spans="1:12" ht="109.5" customHeight="1" thickBot="1">
      <c r="A22" s="283"/>
      <c r="B22" s="283"/>
      <c r="C22" s="283"/>
      <c r="D22" s="283"/>
      <c r="E22" s="143" t="s">
        <v>135</v>
      </c>
      <c r="F22" s="143" t="s">
        <v>136</v>
      </c>
      <c r="G22" s="143" t="s">
        <v>137</v>
      </c>
      <c r="H22" s="283"/>
      <c r="I22" s="283"/>
      <c r="J22" s="283"/>
      <c r="L22" s="174">
        <v>1580197.3200000003</v>
      </c>
    </row>
    <row r="23" spans="1:10" ht="19.5" thickBot="1">
      <c r="A23" s="220">
        <v>1</v>
      </c>
      <c r="B23" s="143">
        <v>2</v>
      </c>
      <c r="C23" s="143">
        <v>3</v>
      </c>
      <c r="D23" s="143">
        <v>4</v>
      </c>
      <c r="E23" s="143">
        <v>5</v>
      </c>
      <c r="F23" s="143">
        <v>6</v>
      </c>
      <c r="G23" s="143">
        <v>7</v>
      </c>
      <c r="H23" s="143">
        <v>8</v>
      </c>
      <c r="I23" s="143">
        <v>9</v>
      </c>
      <c r="J23" s="143">
        <v>10</v>
      </c>
    </row>
    <row r="24" spans="1:16" ht="38.25" thickBot="1">
      <c r="A24" s="220"/>
      <c r="B24" s="220" t="s">
        <v>280</v>
      </c>
      <c r="C24" s="143">
        <v>3.65</v>
      </c>
      <c r="D24" s="51">
        <f>E24+F24+G24</f>
        <v>32860.63421988155</v>
      </c>
      <c r="E24" s="51">
        <f>77013.1/C24</f>
        <v>21099.479452054795</v>
      </c>
      <c r="F24" s="51"/>
      <c r="G24" s="51">
        <f>E24*K24+878.117957147875-1776.650860554</f>
        <v>11761.15476782675</v>
      </c>
      <c r="H24" s="51"/>
      <c r="I24" s="51">
        <v>1.6</v>
      </c>
      <c r="J24" s="51">
        <f>((D24*I24)+(D24))*C24*12</f>
        <v>3742169.024960111</v>
      </c>
      <c r="K24" s="174">
        <v>0.6</v>
      </c>
      <c r="L24" s="173">
        <v>3944428.48</v>
      </c>
      <c r="M24" s="173">
        <f>J24-L24</f>
        <v>-202259.4550398891</v>
      </c>
      <c r="N24" s="203">
        <f>M24/2.6/12/C24</f>
        <v>-1776.0752989101607</v>
      </c>
      <c r="P24" s="174">
        <f aca="true" t="shared" si="0" ref="P24:P29">D24*2.6</f>
        <v>85437.64897169203</v>
      </c>
    </row>
    <row r="25" spans="1:16" ht="38.25" thickBot="1">
      <c r="A25" s="220"/>
      <c r="B25" s="220" t="s">
        <v>281</v>
      </c>
      <c r="C25" s="143">
        <v>32</v>
      </c>
      <c r="D25" s="51">
        <f>E25+F25+G25</f>
        <v>21182.226689530362</v>
      </c>
      <c r="E25" s="51">
        <f>309095.66/C25</f>
        <v>9659.239375</v>
      </c>
      <c r="F25" s="51"/>
      <c r="G25" s="51">
        <f>E25*K25+E25*0.2-771.19528051764+3958.259014423</f>
        <v>11522.98731453036</v>
      </c>
      <c r="H25" s="230"/>
      <c r="I25" s="51">
        <v>1.6</v>
      </c>
      <c r="J25" s="51">
        <f>((D25*I25)+(D25))*C25*12</f>
        <v>21148335.126827113</v>
      </c>
      <c r="K25" s="174">
        <v>0.663</v>
      </c>
      <c r="L25" s="173">
        <f>17416877.88+27910.85446719</f>
        <v>17444788.73446719</v>
      </c>
      <c r="M25" s="173">
        <f>J25-L25</f>
        <v>3703546.3923599236</v>
      </c>
      <c r="N25" s="203">
        <f>M25/2.6/12/C25</f>
        <v>3709.4815628605006</v>
      </c>
      <c r="P25" s="174">
        <f t="shared" si="0"/>
        <v>55073.78939277894</v>
      </c>
    </row>
    <row r="26" spans="1:16" ht="57" thickBot="1">
      <c r="A26" s="231"/>
      <c r="B26" s="220" t="s">
        <v>282</v>
      </c>
      <c r="C26" s="143">
        <v>20</v>
      </c>
      <c r="D26" s="51">
        <f>E26+F26+G26</f>
        <v>8683.600986413643</v>
      </c>
      <c r="E26" s="51">
        <f>117362.84/C26</f>
        <v>5868.142</v>
      </c>
      <c r="F26" s="51"/>
      <c r="G26" s="51">
        <f>E26*K26+578.269093+507.580208-0.0012325353574-324.238782051</f>
        <v>2815.4589864136424</v>
      </c>
      <c r="H26" s="51"/>
      <c r="I26" s="51">
        <v>1.6</v>
      </c>
      <c r="J26" s="51">
        <f>((D26*I26)+(D26))*C26*12</f>
        <v>5418567.015522114</v>
      </c>
      <c r="K26" s="174">
        <v>0.35</v>
      </c>
      <c r="L26" s="173">
        <v>10313060.604634875</v>
      </c>
      <c r="M26" s="173">
        <f>J26+J27-L26</f>
        <v>-1628196.6219080929</v>
      </c>
      <c r="N26" s="204">
        <f>M26/2.6/12/C26</f>
        <v>-2609.289458186046</v>
      </c>
      <c r="P26" s="174">
        <f t="shared" si="0"/>
        <v>22577.362564675474</v>
      </c>
    </row>
    <row r="27" spans="1:19" ht="38.25" thickBot="1">
      <c r="A27" s="231"/>
      <c r="B27" s="220" t="s">
        <v>283</v>
      </c>
      <c r="C27" s="143">
        <v>18.6</v>
      </c>
      <c r="D27" s="51">
        <f>E27+F27+G27</f>
        <v>5628.44114834</v>
      </c>
      <c r="E27" s="92">
        <f>62885.05/C27</f>
        <v>3380.9166666666665</v>
      </c>
      <c r="F27" s="92"/>
      <c r="G27" s="51">
        <f>E27*K27+500-348.64385166</f>
        <v>2247.524481673333</v>
      </c>
      <c r="H27" s="143"/>
      <c r="I27" s="51">
        <v>1.6</v>
      </c>
      <c r="J27" s="51">
        <f>((D27*I27)+(D27))*C27*12</f>
        <v>3266296.967204669</v>
      </c>
      <c r="K27" s="174">
        <v>0.62</v>
      </c>
      <c r="L27" s="173">
        <f>SUM(L24:L26)</f>
        <v>31702277.819102064</v>
      </c>
      <c r="M27" s="173">
        <v>5492446</v>
      </c>
      <c r="P27" s="174">
        <f t="shared" si="0"/>
        <v>14633.946985684</v>
      </c>
      <c r="R27" s="173">
        <f>L27-J28</f>
        <v>-1873090.3154119477</v>
      </c>
      <c r="S27" s="205">
        <f>R27-259000-100000</f>
        <v>-2232090.3154119477</v>
      </c>
    </row>
    <row r="28" spans="1:16" ht="39.75" customHeight="1" thickBot="1">
      <c r="A28" s="305" t="s">
        <v>138</v>
      </c>
      <c r="B28" s="306"/>
      <c r="C28" s="232" t="s">
        <v>139</v>
      </c>
      <c r="D28" s="232"/>
      <c r="E28" s="232" t="s">
        <v>139</v>
      </c>
      <c r="F28" s="232" t="s">
        <v>139</v>
      </c>
      <c r="G28" s="232" t="s">
        <v>139</v>
      </c>
      <c r="H28" s="233" t="s">
        <v>139</v>
      </c>
      <c r="I28" s="232" t="s">
        <v>139</v>
      </c>
      <c r="J28" s="234">
        <f>SUM(J24:J27)</f>
        <v>33575368.13451401</v>
      </c>
      <c r="L28" s="173">
        <f>L27-J28</f>
        <v>-1873090.3154119477</v>
      </c>
      <c r="M28" s="174">
        <f>M27*2.6</f>
        <v>14280359.6</v>
      </c>
      <c r="P28" s="174">
        <f t="shared" si="0"/>
        <v>0</v>
      </c>
    </row>
    <row r="29" spans="12:16" ht="15">
      <c r="L29" s="206">
        <f>L28/12/2.6/10.65</f>
        <v>-5637.084132093257</v>
      </c>
      <c r="M29" s="173"/>
      <c r="P29" s="174">
        <f t="shared" si="0"/>
        <v>0</v>
      </c>
    </row>
    <row r="30" spans="12:13" ht="15">
      <c r="L30" s="173"/>
      <c r="M30" s="173"/>
    </row>
    <row r="31" spans="1:12" ht="38.25" customHeight="1">
      <c r="A31" s="304" t="s">
        <v>186</v>
      </c>
      <c r="B31" s="304"/>
      <c r="C31" s="304"/>
      <c r="D31" s="304"/>
      <c r="E31" s="304"/>
      <c r="F31" s="304"/>
      <c r="L31" s="173">
        <f>J24+J26+J27</f>
        <v>12427033.007686894</v>
      </c>
    </row>
    <row r="32" ht="15.75" thickBot="1">
      <c r="L32" s="173">
        <f>L24+L26</f>
        <v>14257489.084634876</v>
      </c>
    </row>
    <row r="33" spans="1:15" ht="123" customHeight="1" thickBot="1">
      <c r="A33" s="91" t="s">
        <v>0</v>
      </c>
      <c r="B33" s="222" t="s">
        <v>140</v>
      </c>
      <c r="C33" s="222" t="s">
        <v>141</v>
      </c>
      <c r="D33" s="222" t="s">
        <v>142</v>
      </c>
      <c r="E33" s="222" t="s">
        <v>143</v>
      </c>
      <c r="F33" s="222" t="s">
        <v>144</v>
      </c>
      <c r="J33" s="173">
        <f>J28-12427033-19275244.05</f>
        <v>1873091.0845140107</v>
      </c>
      <c r="L33" s="173">
        <f>12427033+19275244.05</f>
        <v>31702277.05</v>
      </c>
      <c r="M33" s="174">
        <f>L33/2.6/12/(C27)</f>
        <v>54628.95824717397</v>
      </c>
      <c r="N33" s="200">
        <f>J28*30%</f>
        <v>10072610.440354204</v>
      </c>
      <c r="O33" s="174">
        <f>L33/2.6/12/(C26)</f>
        <v>50804.931169871794</v>
      </c>
    </row>
    <row r="34" spans="1:12" ht="19.5" thickBot="1">
      <c r="A34" s="220">
        <v>1</v>
      </c>
      <c r="B34" s="143">
        <v>2</v>
      </c>
      <c r="C34" s="143">
        <v>3</v>
      </c>
      <c r="D34" s="143">
        <v>4</v>
      </c>
      <c r="E34" s="143">
        <v>5</v>
      </c>
      <c r="F34" s="143">
        <v>6</v>
      </c>
      <c r="L34" s="201">
        <f>(L33-J28)/12/C26/2.6</f>
        <v>-3001.748532875017</v>
      </c>
    </row>
    <row r="35" spans="1:13" ht="19.5" thickBot="1">
      <c r="A35" s="220">
        <v>1</v>
      </c>
      <c r="B35" s="143"/>
      <c r="C35" s="92">
        <v>0</v>
      </c>
      <c r="D35" s="92">
        <v>0</v>
      </c>
      <c r="E35" s="92">
        <v>0</v>
      </c>
      <c r="F35" s="92">
        <f>C35*D35*E35</f>
        <v>0</v>
      </c>
      <c r="L35" s="174" t="s">
        <v>310</v>
      </c>
      <c r="M35" s="173">
        <f>L27-J28-259000-100000</f>
        <v>-2232090.3154119477</v>
      </c>
    </row>
    <row r="36" spans="1:13" ht="19.5" thickBot="1">
      <c r="A36" s="220"/>
      <c r="B36" s="108" t="s">
        <v>138</v>
      </c>
      <c r="C36" s="66" t="s">
        <v>139</v>
      </c>
      <c r="D36" s="66" t="s">
        <v>139</v>
      </c>
      <c r="E36" s="66" t="s">
        <v>139</v>
      </c>
      <c r="F36" s="109">
        <f>F35</f>
        <v>0</v>
      </c>
      <c r="L36" s="207">
        <v>213</v>
      </c>
      <c r="M36" s="173">
        <f>M27-D55</f>
        <v>-4646912.84</v>
      </c>
    </row>
    <row r="38" spans="1:6" ht="18.75">
      <c r="A38" s="304" t="s">
        <v>344</v>
      </c>
      <c r="B38" s="304"/>
      <c r="C38" s="304"/>
      <c r="D38" s="304"/>
      <c r="E38" s="304"/>
      <c r="F38" s="304"/>
    </row>
    <row r="39" ht="15.75" thickBot="1"/>
    <row r="40" spans="1:6" ht="124.5" customHeight="1" thickBot="1">
      <c r="A40" s="91" t="s">
        <v>0</v>
      </c>
      <c r="B40" s="222" t="s">
        <v>140</v>
      </c>
      <c r="C40" s="222" t="s">
        <v>145</v>
      </c>
      <c r="D40" s="222" t="s">
        <v>146</v>
      </c>
      <c r="E40" s="222" t="s">
        <v>147</v>
      </c>
      <c r="F40" s="222" t="s">
        <v>144</v>
      </c>
    </row>
    <row r="41" spans="1:6" ht="19.5" thickBot="1">
      <c r="A41" s="220">
        <v>1</v>
      </c>
      <c r="B41" s="143">
        <v>2</v>
      </c>
      <c r="C41" s="143">
        <v>3</v>
      </c>
      <c r="D41" s="143">
        <v>4</v>
      </c>
      <c r="E41" s="143">
        <v>5</v>
      </c>
      <c r="F41" s="143">
        <v>6</v>
      </c>
    </row>
    <row r="42" spans="1:6" ht="51.75" customHeight="1" thickBot="1">
      <c r="A42" s="220">
        <v>1</v>
      </c>
      <c r="B42" s="143" t="s">
        <v>265</v>
      </c>
      <c r="C42" s="143">
        <v>2</v>
      </c>
      <c r="D42" s="143">
        <v>12</v>
      </c>
      <c r="E42" s="92">
        <v>90</v>
      </c>
      <c r="F42" s="92">
        <f>C42*D42*E42</f>
        <v>2160</v>
      </c>
    </row>
    <row r="43" spans="1:6" ht="19.5" thickBot="1">
      <c r="A43" s="220"/>
      <c r="B43" s="108" t="s">
        <v>138</v>
      </c>
      <c r="C43" s="66" t="s">
        <v>139</v>
      </c>
      <c r="D43" s="66" t="s">
        <v>139</v>
      </c>
      <c r="E43" s="66" t="s">
        <v>139</v>
      </c>
      <c r="F43" s="112">
        <f>F42</f>
        <v>2160</v>
      </c>
    </row>
    <row r="45" spans="1:5" ht="80.25" customHeight="1">
      <c r="A45" s="304" t="s">
        <v>188</v>
      </c>
      <c r="B45" s="304"/>
      <c r="C45" s="304"/>
      <c r="D45" s="304"/>
      <c r="E45" s="304"/>
    </row>
    <row r="46" ht="15.75" thickBot="1"/>
    <row r="47" spans="1:4" ht="144.75" customHeight="1" thickBot="1">
      <c r="A47" s="91" t="s">
        <v>0</v>
      </c>
      <c r="B47" s="222" t="s">
        <v>148</v>
      </c>
      <c r="C47" s="222" t="s">
        <v>149</v>
      </c>
      <c r="D47" s="222" t="s">
        <v>150</v>
      </c>
    </row>
    <row r="48" spans="1:4" ht="19.5" thickBot="1">
      <c r="A48" s="220">
        <v>1</v>
      </c>
      <c r="B48" s="143">
        <v>2</v>
      </c>
      <c r="C48" s="143">
        <v>3</v>
      </c>
      <c r="D48" s="143">
        <v>4</v>
      </c>
    </row>
    <row r="49" spans="1:4" ht="113.25" customHeight="1" thickBot="1">
      <c r="A49" s="220">
        <v>1</v>
      </c>
      <c r="B49" s="94" t="s">
        <v>151</v>
      </c>
      <c r="C49" s="143" t="s">
        <v>139</v>
      </c>
      <c r="D49" s="51">
        <f>D50+D52</f>
        <v>7386178.65296985</v>
      </c>
    </row>
    <row r="50" spans="1:4" ht="18.75">
      <c r="A50" s="282" t="s">
        <v>152</v>
      </c>
      <c r="B50" s="95" t="s">
        <v>22</v>
      </c>
      <c r="C50" s="282"/>
      <c r="D50" s="278">
        <f>3753163.97+6386194.87-D53-D54</f>
        <v>7386178.65296985</v>
      </c>
    </row>
    <row r="51" spans="1:4" ht="19.5" thickBot="1">
      <c r="A51" s="283"/>
      <c r="B51" s="96" t="s">
        <v>153</v>
      </c>
      <c r="C51" s="283"/>
      <c r="D51" s="279"/>
    </row>
    <row r="52" spans="1:4" ht="19.5" thickBot="1">
      <c r="A52" s="220" t="s">
        <v>154</v>
      </c>
      <c r="B52" s="97" t="s">
        <v>155</v>
      </c>
      <c r="C52" s="143"/>
      <c r="D52" s="51"/>
    </row>
    <row r="53" spans="1:4" ht="120.75" customHeight="1" thickBot="1">
      <c r="A53" s="220">
        <v>2</v>
      </c>
      <c r="B53" s="94" t="s">
        <v>156</v>
      </c>
      <c r="C53" s="143" t="s">
        <v>139</v>
      </c>
      <c r="D53" s="51">
        <f>C54*3.1%</f>
        <v>1040836.4121699344</v>
      </c>
    </row>
    <row r="54" spans="1:4" ht="164.25" customHeight="1" thickBot="1">
      <c r="A54" s="220">
        <v>3</v>
      </c>
      <c r="B54" s="94" t="s">
        <v>157</v>
      </c>
      <c r="C54" s="51">
        <f>J28</f>
        <v>33575368.13451401</v>
      </c>
      <c r="D54" s="51">
        <f>C54*5.1%</f>
        <v>1712343.7748602144</v>
      </c>
    </row>
    <row r="55" spans="1:5" ht="19.5" thickBot="1">
      <c r="A55" s="220"/>
      <c r="B55" s="108" t="s">
        <v>138</v>
      </c>
      <c r="C55" s="66" t="s">
        <v>139</v>
      </c>
      <c r="D55" s="67">
        <f>D50+D53+D54</f>
        <v>10139358.84</v>
      </c>
      <c r="E55" s="173">
        <f>6025910.95+3753163.97-D55</f>
        <v>-360283.9199999999</v>
      </c>
    </row>
    <row r="57" spans="1:6" ht="36" customHeight="1">
      <c r="A57" s="304" t="s">
        <v>189</v>
      </c>
      <c r="B57" s="304"/>
      <c r="C57" s="304"/>
      <c r="D57" s="304"/>
      <c r="E57" s="304"/>
      <c r="F57" s="304"/>
    </row>
    <row r="59" spans="1:6" ht="18.75">
      <c r="A59" s="309" t="s">
        <v>345</v>
      </c>
      <c r="B59" s="309"/>
      <c r="C59" s="309"/>
      <c r="D59" s="309"/>
      <c r="E59" s="309"/>
      <c r="F59" s="309"/>
    </row>
    <row r="60" spans="1:6" ht="18.75">
      <c r="A60" s="309" t="s">
        <v>343</v>
      </c>
      <c r="B60" s="309"/>
      <c r="C60" s="309"/>
      <c r="D60" s="309"/>
      <c r="E60" s="309"/>
      <c r="F60" s="309"/>
    </row>
    <row r="61" ht="19.5" thickBot="1">
      <c r="A61" s="98"/>
    </row>
    <row r="62" spans="1:5" ht="108" customHeight="1" thickBot="1">
      <c r="A62" s="91" t="s">
        <v>0</v>
      </c>
      <c r="B62" s="222" t="s">
        <v>1</v>
      </c>
      <c r="C62" s="222" t="s">
        <v>158</v>
      </c>
      <c r="D62" s="222" t="s">
        <v>159</v>
      </c>
      <c r="E62" s="222" t="s">
        <v>160</v>
      </c>
    </row>
    <row r="63" spans="1:5" ht="19.5" thickBot="1">
      <c r="A63" s="220">
        <v>1</v>
      </c>
      <c r="B63" s="143">
        <v>2</v>
      </c>
      <c r="C63" s="143">
        <v>3</v>
      </c>
      <c r="D63" s="143">
        <v>4</v>
      </c>
      <c r="E63" s="143">
        <v>5</v>
      </c>
    </row>
    <row r="64" spans="1:5" ht="19.5" thickBot="1">
      <c r="A64" s="220"/>
      <c r="B64" s="143"/>
      <c r="C64" s="143"/>
      <c r="D64" s="143"/>
      <c r="E64" s="143"/>
    </row>
    <row r="65" spans="1:5" ht="19.5" thickBot="1">
      <c r="A65" s="220"/>
      <c r="B65" s="108" t="s">
        <v>138</v>
      </c>
      <c r="C65" s="66" t="s">
        <v>139</v>
      </c>
      <c r="D65" s="66" t="s">
        <v>139</v>
      </c>
      <c r="E65" s="66"/>
    </row>
    <row r="68" spans="1:7" ht="18.75">
      <c r="A68" s="307" t="s">
        <v>192</v>
      </c>
      <c r="B68" s="307"/>
      <c r="C68" s="307"/>
      <c r="D68" s="307"/>
      <c r="E68" s="307"/>
      <c r="F68" s="307"/>
      <c r="G68" s="307"/>
    </row>
    <row r="69" ht="18.75">
      <c r="A69" s="99"/>
    </row>
    <row r="70" ht="18.75">
      <c r="A70" s="98"/>
    </row>
    <row r="71" spans="1:7" ht="18.75">
      <c r="A71" s="309" t="s">
        <v>346</v>
      </c>
      <c r="B71" s="309"/>
      <c r="C71" s="309"/>
      <c r="D71" s="309"/>
      <c r="E71" s="309"/>
      <c r="F71" s="309"/>
      <c r="G71" s="309"/>
    </row>
    <row r="72" spans="1:7" ht="18.75">
      <c r="A72" s="309" t="s">
        <v>256</v>
      </c>
      <c r="B72" s="309"/>
      <c r="C72" s="309"/>
      <c r="D72" s="309"/>
      <c r="E72" s="309"/>
      <c r="F72" s="309"/>
      <c r="G72" s="309"/>
    </row>
    <row r="73" ht="19.5" thickBot="1">
      <c r="A73" s="98"/>
    </row>
    <row r="74" spans="1:6" ht="141.75" customHeight="1" thickBot="1">
      <c r="A74" s="91" t="s">
        <v>0</v>
      </c>
      <c r="B74" s="222" t="s">
        <v>140</v>
      </c>
      <c r="C74" s="222" t="s">
        <v>161</v>
      </c>
      <c r="D74" s="222" t="s">
        <v>162</v>
      </c>
      <c r="E74" s="222" t="s">
        <v>163</v>
      </c>
      <c r="F74" s="174"/>
    </row>
    <row r="75" spans="1:6" ht="19.5" thickBot="1">
      <c r="A75" s="220">
        <v>1</v>
      </c>
      <c r="B75" s="143">
        <v>2</v>
      </c>
      <c r="C75" s="143">
        <v>3</v>
      </c>
      <c r="D75" s="143">
        <v>4</v>
      </c>
      <c r="E75" s="143">
        <v>5</v>
      </c>
      <c r="F75" s="174"/>
    </row>
    <row r="76" spans="1:12" ht="19.5" thickBot="1">
      <c r="A76" s="220">
        <v>1</v>
      </c>
      <c r="B76" s="143" t="s">
        <v>254</v>
      </c>
      <c r="C76" s="111">
        <v>14909727.27</v>
      </c>
      <c r="D76" s="111">
        <v>2.2</v>
      </c>
      <c r="E76" s="111">
        <f>(C76*D76)/100</f>
        <v>328013.99994</v>
      </c>
      <c r="F76" s="175">
        <f>328014-E76</f>
        <v>5.9999991208314896E-05</v>
      </c>
      <c r="H76" s="100"/>
      <c r="L76" s="174">
        <f>420508/0.015</f>
        <v>28033866.666666668</v>
      </c>
    </row>
    <row r="77" spans="1:6" ht="27" customHeight="1" thickBot="1">
      <c r="A77" s="220">
        <v>2</v>
      </c>
      <c r="B77" s="143" t="s">
        <v>255</v>
      </c>
      <c r="C77" s="111">
        <v>28033866.67</v>
      </c>
      <c r="D77" s="111">
        <v>1.5</v>
      </c>
      <c r="E77" s="111">
        <f>(C77*D77)/100</f>
        <v>420508.00005000003</v>
      </c>
      <c r="F77" s="175">
        <f>420508-E77</f>
        <v>-5.000003147870302E-05</v>
      </c>
    </row>
    <row r="78" spans="1:5" ht="19.5" thickBot="1">
      <c r="A78" s="220"/>
      <c r="B78" s="108" t="s">
        <v>138</v>
      </c>
      <c r="C78" s="112"/>
      <c r="D78" s="112" t="s">
        <v>139</v>
      </c>
      <c r="E78" s="112">
        <f>E77+E76</f>
        <v>748521.99999</v>
      </c>
    </row>
    <row r="80" spans="1:5" ht="18.75">
      <c r="A80" s="307" t="s">
        <v>300</v>
      </c>
      <c r="B80" s="307"/>
      <c r="C80" s="307"/>
      <c r="D80" s="307"/>
      <c r="E80" s="307"/>
    </row>
    <row r="81" ht="18.75">
      <c r="A81" s="99"/>
    </row>
    <row r="82" ht="18.75">
      <c r="A82" s="101" t="s">
        <v>290</v>
      </c>
    </row>
    <row r="83" spans="1:7" ht="18.75">
      <c r="A83" s="224" t="s">
        <v>256</v>
      </c>
      <c r="B83" s="224"/>
      <c r="C83" s="224"/>
      <c r="D83" s="224"/>
      <c r="E83" s="224"/>
      <c r="F83" s="224"/>
      <c r="G83" s="224"/>
    </row>
    <row r="84" ht="18.75">
      <c r="A84" s="101"/>
    </row>
    <row r="85" spans="1:6" ht="18.75">
      <c r="A85" s="307" t="s">
        <v>301</v>
      </c>
      <c r="B85" s="307"/>
      <c r="C85" s="307"/>
      <c r="D85" s="307"/>
      <c r="E85" s="307"/>
      <c r="F85" s="307"/>
    </row>
    <row r="86" ht="15.75" thickBot="1"/>
    <row r="87" spans="1:6" ht="57" thickBot="1">
      <c r="A87" s="91" t="s">
        <v>0</v>
      </c>
      <c r="B87" s="222" t="s">
        <v>140</v>
      </c>
      <c r="C87" s="222" t="s">
        <v>165</v>
      </c>
      <c r="D87" s="222" t="s">
        <v>166</v>
      </c>
      <c r="E87" s="222" t="s">
        <v>167</v>
      </c>
      <c r="F87" s="222" t="s">
        <v>144</v>
      </c>
    </row>
    <row r="88" spans="1:6" ht="19.5" thickBot="1">
      <c r="A88" s="220">
        <v>1</v>
      </c>
      <c r="B88" s="143">
        <v>2</v>
      </c>
      <c r="C88" s="143">
        <v>3</v>
      </c>
      <c r="D88" s="143">
        <v>4</v>
      </c>
      <c r="E88" s="143">
        <v>5</v>
      </c>
      <c r="F88" s="143">
        <v>6</v>
      </c>
    </row>
    <row r="89" spans="1:6" ht="38.25" thickBot="1">
      <c r="A89" s="220">
        <v>1</v>
      </c>
      <c r="B89" s="143" t="s">
        <v>258</v>
      </c>
      <c r="C89" s="143">
        <v>2</v>
      </c>
      <c r="D89" s="143">
        <v>12</v>
      </c>
      <c r="E89" s="111">
        <v>1000</v>
      </c>
      <c r="F89" s="111">
        <f>C89*D89*E89</f>
        <v>24000</v>
      </c>
    </row>
    <row r="90" spans="1:6" ht="19.5" thickBot="1">
      <c r="A90" s="220"/>
      <c r="B90" s="108" t="s">
        <v>138</v>
      </c>
      <c r="C90" s="66" t="s">
        <v>139</v>
      </c>
      <c r="D90" s="66" t="s">
        <v>139</v>
      </c>
      <c r="E90" s="66" t="s">
        <v>139</v>
      </c>
      <c r="F90" s="112">
        <f>F89</f>
        <v>24000</v>
      </c>
    </row>
    <row r="92" spans="1:6" ht="30" customHeight="1">
      <c r="A92" s="307" t="s">
        <v>302</v>
      </c>
      <c r="B92" s="307"/>
      <c r="C92" s="307"/>
      <c r="D92" s="307"/>
      <c r="E92" s="307"/>
      <c r="F92" s="307"/>
    </row>
    <row r="93" ht="15.75" thickBot="1"/>
    <row r="94" spans="1:5" ht="57" thickBot="1">
      <c r="A94" s="91" t="s">
        <v>0</v>
      </c>
      <c r="B94" s="222" t="s">
        <v>140</v>
      </c>
      <c r="C94" s="222" t="s">
        <v>169</v>
      </c>
      <c r="D94" s="222" t="s">
        <v>170</v>
      </c>
      <c r="E94" s="222" t="s">
        <v>171</v>
      </c>
    </row>
    <row r="95" spans="1:5" ht="19.5" thickBot="1">
      <c r="A95" s="220">
        <v>1</v>
      </c>
      <c r="B95" s="143">
        <v>2</v>
      </c>
      <c r="C95" s="143">
        <v>3</v>
      </c>
      <c r="D95" s="143">
        <v>4</v>
      </c>
      <c r="E95" s="143">
        <v>5</v>
      </c>
    </row>
    <row r="96" spans="1:5" ht="19.5" thickBot="1">
      <c r="A96" s="220"/>
      <c r="B96" s="143" t="s">
        <v>342</v>
      </c>
      <c r="C96" s="92">
        <v>4</v>
      </c>
      <c r="D96" s="92">
        <v>9500</v>
      </c>
      <c r="E96" s="92">
        <f>C96*D96</f>
        <v>38000</v>
      </c>
    </row>
    <row r="97" spans="1:5" ht="19.5" thickBot="1">
      <c r="A97" s="220"/>
      <c r="B97" s="114" t="s">
        <v>138</v>
      </c>
      <c r="C97" s="115">
        <f>C96</f>
        <v>4</v>
      </c>
      <c r="D97" s="115">
        <f>D96</f>
        <v>9500</v>
      </c>
      <c r="E97" s="115">
        <f>E96</f>
        <v>38000</v>
      </c>
    </row>
    <row r="99" spans="1:6" ht="18.75">
      <c r="A99" s="307" t="s">
        <v>303</v>
      </c>
      <c r="B99" s="307"/>
      <c r="C99" s="307"/>
      <c r="D99" s="307"/>
      <c r="E99" s="307"/>
      <c r="F99" s="307"/>
    </row>
    <row r="100" ht="15.75" thickBot="1"/>
    <row r="101" spans="1:7" ht="57" thickBot="1">
      <c r="A101" s="91" t="s">
        <v>0</v>
      </c>
      <c r="B101" s="222" t="s">
        <v>1</v>
      </c>
      <c r="C101" s="222" t="s">
        <v>295</v>
      </c>
      <c r="D101" s="222" t="s">
        <v>291</v>
      </c>
      <c r="E101" s="222" t="s">
        <v>173</v>
      </c>
      <c r="F101" s="222" t="s">
        <v>174</v>
      </c>
      <c r="G101" s="222" t="s">
        <v>297</v>
      </c>
    </row>
    <row r="102" spans="1:9" ht="19.5" thickBot="1">
      <c r="A102" s="220">
        <v>1</v>
      </c>
      <c r="B102" s="143">
        <v>2</v>
      </c>
      <c r="C102" s="143">
        <v>3</v>
      </c>
      <c r="D102" s="143">
        <v>4</v>
      </c>
      <c r="E102" s="143">
        <v>5</v>
      </c>
      <c r="F102" s="143">
        <v>6</v>
      </c>
      <c r="G102" s="143">
        <v>7</v>
      </c>
      <c r="H102" s="174"/>
      <c r="I102" s="174"/>
    </row>
    <row r="103" spans="1:9" ht="47.25" customHeight="1" thickBot="1">
      <c r="A103" s="220">
        <v>1</v>
      </c>
      <c r="B103" s="220" t="s">
        <v>259</v>
      </c>
      <c r="C103" s="92" t="s">
        <v>296</v>
      </c>
      <c r="D103" s="92">
        <v>355.2</v>
      </c>
      <c r="E103" s="92">
        <f>('[1]мой для учреждений'!$E$90/'[1]мой для учреждений'!$D$90)*1000</f>
        <v>6194.2179379228255</v>
      </c>
      <c r="F103" s="143"/>
      <c r="G103" s="102">
        <f>2254.92935*1000</f>
        <v>2254929.35</v>
      </c>
      <c r="H103" s="174">
        <f>'[1]мой для учреждений'!$E$90*1000</f>
        <v>2133350.6</v>
      </c>
      <c r="I103" s="175">
        <f aca="true" t="shared" si="1" ref="I103:I109">G103-H103</f>
        <v>121578.75</v>
      </c>
    </row>
    <row r="104" spans="1:9" ht="47.25" customHeight="1" thickBot="1">
      <c r="A104" s="220">
        <v>2</v>
      </c>
      <c r="B104" s="220" t="s">
        <v>260</v>
      </c>
      <c r="C104" s="92" t="s">
        <v>296</v>
      </c>
      <c r="D104" s="92">
        <v>97.92</v>
      </c>
      <c r="E104" s="92">
        <f>('[1]мой для учреждений'!$I$90/'[1]мой для учреждений'!$H$90)*1000</f>
        <v>6225.295637521064</v>
      </c>
      <c r="F104" s="143"/>
      <c r="G104" s="102">
        <f>624.01947*1000</f>
        <v>624019.47</v>
      </c>
      <c r="H104" s="174">
        <f>'[1]мой для учреждений'!$I$90*1000</f>
        <v>664986.08</v>
      </c>
      <c r="I104" s="175">
        <f t="shared" si="1"/>
        <v>-40966.609999999986</v>
      </c>
    </row>
    <row r="105" spans="1:9" ht="47.25" customHeight="1" thickBot="1">
      <c r="A105" s="220">
        <v>3</v>
      </c>
      <c r="B105" s="220" t="s">
        <v>261</v>
      </c>
      <c r="C105" s="92" t="s">
        <v>324</v>
      </c>
      <c r="D105" s="92">
        <f>40.258*1000</f>
        <v>40258</v>
      </c>
      <c r="E105" s="92">
        <f>('[1]мой для учреждений'!$M$90/'[1]мой для учреждений'!$L$90)</f>
        <v>7.169591896367001</v>
      </c>
      <c r="F105" s="143"/>
      <c r="G105" s="102">
        <f>198.73518*1000</f>
        <v>198735.18000000002</v>
      </c>
      <c r="H105" s="174">
        <f>'[1]мой для учреждений'!$M$90*1000</f>
        <v>294440.80000000005</v>
      </c>
      <c r="I105" s="175">
        <f t="shared" si="1"/>
        <v>-95705.62000000002</v>
      </c>
    </row>
    <row r="106" spans="1:9" ht="47.25" customHeight="1" thickBot="1">
      <c r="A106" s="220">
        <v>4</v>
      </c>
      <c r="B106" s="220" t="s">
        <v>262</v>
      </c>
      <c r="C106" s="92" t="s">
        <v>311</v>
      </c>
      <c r="D106" s="92">
        <v>2232</v>
      </c>
      <c r="E106" s="92">
        <f>('[1]мой для учреждений'!$Q$90/'[1]мой для учреждений'!$P$90)*1000</f>
        <v>56.51198924731183</v>
      </c>
      <c r="F106" s="143"/>
      <c r="G106" s="102">
        <f>127.49392*1000</f>
        <v>127493.92</v>
      </c>
      <c r="H106" s="174">
        <f>'[1]мой для учреждений'!$Q$90*1000</f>
        <v>126134.76</v>
      </c>
      <c r="I106" s="175">
        <f t="shared" si="1"/>
        <v>1359.1600000000035</v>
      </c>
    </row>
    <row r="107" spans="1:9" ht="47.25" customHeight="1" thickBot="1">
      <c r="A107" s="220">
        <v>5</v>
      </c>
      <c r="B107" s="220" t="s">
        <v>263</v>
      </c>
      <c r="C107" s="92" t="s">
        <v>311</v>
      </c>
      <c r="D107" s="92">
        <v>3221.13</v>
      </c>
      <c r="E107" s="92">
        <f>('[1]мой для учреждений'!$Y$90/'[1]мой для учреждений'!$X$90)*1000</f>
        <v>45.253488818113304</v>
      </c>
      <c r="F107" s="143"/>
      <c r="G107" s="102">
        <f>142.34533*1000</f>
        <v>142345.33</v>
      </c>
      <c r="H107" s="174">
        <f>'[1]мой для учреждений'!$Y$90*1000</f>
        <v>149831.36</v>
      </c>
      <c r="I107" s="175">
        <f t="shared" si="1"/>
        <v>-7486.029999999999</v>
      </c>
    </row>
    <row r="108" spans="1:9" ht="47.25" customHeight="1" thickBot="1">
      <c r="A108" s="220">
        <v>6</v>
      </c>
      <c r="B108" s="220" t="s">
        <v>264</v>
      </c>
      <c r="C108" s="92" t="s">
        <v>311</v>
      </c>
      <c r="D108" s="92">
        <v>989.127</v>
      </c>
      <c r="E108" s="92">
        <f>('[1]мой для учреждений'!$U$90/'[1]мой для учреждений'!$T$90)*1000</f>
        <v>56.564667936437324</v>
      </c>
      <c r="F108" s="143"/>
      <c r="G108" s="102">
        <f>56.42013*1000</f>
        <v>56420.13</v>
      </c>
      <c r="H108" s="174">
        <f>'[1]мой для учреждений'!$U$90*1000</f>
        <v>61029.6</v>
      </c>
      <c r="I108" s="175">
        <f t="shared" si="1"/>
        <v>-4609.470000000001</v>
      </c>
    </row>
    <row r="109" spans="1:9" ht="19.5" thickBot="1">
      <c r="A109" s="220"/>
      <c r="B109" s="108" t="s">
        <v>138</v>
      </c>
      <c r="C109" s="66" t="s">
        <v>139</v>
      </c>
      <c r="D109" s="66" t="s">
        <v>139</v>
      </c>
      <c r="E109" s="66" t="s">
        <v>139</v>
      </c>
      <c r="F109" s="66" t="s">
        <v>139</v>
      </c>
      <c r="G109" s="113">
        <f>G108+G107+G106+G105+G104+G103</f>
        <v>3403943.38</v>
      </c>
      <c r="H109" s="174">
        <f>'[1]мой для учреждений'!$Z$90*1000</f>
        <v>3429773.2</v>
      </c>
      <c r="I109" s="175">
        <f t="shared" si="1"/>
        <v>-25829.820000000298</v>
      </c>
    </row>
    <row r="110" spans="8:9" ht="15">
      <c r="H110" s="174"/>
      <c r="I110" s="174"/>
    </row>
    <row r="111" spans="1:6" ht="18.75">
      <c r="A111" s="307" t="s">
        <v>304</v>
      </c>
      <c r="B111" s="307"/>
      <c r="C111" s="307"/>
      <c r="D111" s="307"/>
      <c r="E111" s="307"/>
      <c r="F111" s="101"/>
    </row>
    <row r="112" ht="15.75" thickBot="1"/>
    <row r="113" spans="1:5" ht="57" thickBot="1">
      <c r="A113" s="91" t="s">
        <v>0</v>
      </c>
      <c r="B113" s="222" t="s">
        <v>1</v>
      </c>
      <c r="C113" s="222" t="s">
        <v>176</v>
      </c>
      <c r="D113" s="222" t="s">
        <v>177</v>
      </c>
      <c r="E113" s="222" t="s">
        <v>178</v>
      </c>
    </row>
    <row r="114" spans="1:5" ht="19.5" thickBot="1">
      <c r="A114" s="220">
        <v>1</v>
      </c>
      <c r="B114" s="143">
        <v>2</v>
      </c>
      <c r="C114" s="143">
        <v>3</v>
      </c>
      <c r="D114" s="143">
        <v>4</v>
      </c>
      <c r="E114" s="143">
        <v>5</v>
      </c>
    </row>
    <row r="115" spans="1:5" ht="19.5" thickBot="1">
      <c r="A115" s="220"/>
      <c r="B115" s="143"/>
      <c r="C115" s="143"/>
      <c r="D115" s="143"/>
      <c r="E115" s="143"/>
    </row>
    <row r="116" spans="1:5" ht="19.5" thickBot="1">
      <c r="A116" s="220"/>
      <c r="B116" s="93" t="s">
        <v>138</v>
      </c>
      <c r="C116" s="143" t="s">
        <v>139</v>
      </c>
      <c r="D116" s="143" t="s">
        <v>139</v>
      </c>
      <c r="E116" s="143" t="s">
        <v>139</v>
      </c>
    </row>
    <row r="118" spans="1:5" ht="39.75" customHeight="1">
      <c r="A118" s="304" t="s">
        <v>305</v>
      </c>
      <c r="B118" s="304"/>
      <c r="C118" s="304"/>
      <c r="D118" s="304"/>
      <c r="E118" s="304"/>
    </row>
    <row r="119" ht="19.5" thickBot="1">
      <c r="A119" s="98"/>
    </row>
    <row r="120" spans="1:5" ht="57" thickBot="1">
      <c r="A120" s="91" t="s">
        <v>0</v>
      </c>
      <c r="B120" s="222" t="s">
        <v>140</v>
      </c>
      <c r="C120" s="222" t="s">
        <v>179</v>
      </c>
      <c r="D120" s="222" t="s">
        <v>180</v>
      </c>
      <c r="E120" s="222" t="s">
        <v>181</v>
      </c>
    </row>
    <row r="121" spans="1:5" ht="19.5" thickBot="1">
      <c r="A121" s="220">
        <v>1</v>
      </c>
      <c r="B121" s="143">
        <v>2</v>
      </c>
      <c r="C121" s="143">
        <v>3</v>
      </c>
      <c r="D121" s="143">
        <v>4</v>
      </c>
      <c r="E121" s="143">
        <v>5</v>
      </c>
    </row>
    <row r="122" spans="1:5" ht="19.5" thickBot="1">
      <c r="A122" s="220">
        <v>1</v>
      </c>
      <c r="B122" s="103" t="s">
        <v>267</v>
      </c>
      <c r="C122" s="143"/>
      <c r="D122" s="143">
        <v>12</v>
      </c>
      <c r="E122" s="111">
        <v>9600</v>
      </c>
    </row>
    <row r="123" spans="1:5" ht="38.25" thickBot="1">
      <c r="A123" s="220">
        <v>2</v>
      </c>
      <c r="B123" s="103" t="s">
        <v>354</v>
      </c>
      <c r="C123" s="143"/>
      <c r="D123" s="143">
        <v>12</v>
      </c>
      <c r="E123" s="111">
        <v>72000</v>
      </c>
    </row>
    <row r="124" spans="1:5" ht="38.25" thickBot="1">
      <c r="A124" s="220">
        <v>3</v>
      </c>
      <c r="B124" s="103" t="s">
        <v>339</v>
      </c>
      <c r="C124" s="143"/>
      <c r="D124" s="143">
        <v>12</v>
      </c>
      <c r="E124" s="111">
        <v>72000</v>
      </c>
    </row>
    <row r="125" spans="1:5" ht="57" thickBot="1">
      <c r="A125" s="220">
        <v>4</v>
      </c>
      <c r="B125" s="103" t="s">
        <v>355</v>
      </c>
      <c r="C125" s="143"/>
      <c r="D125" s="143">
        <v>12</v>
      </c>
      <c r="E125" s="111">
        <v>120000</v>
      </c>
    </row>
    <row r="126" spans="1:5" ht="24.75" customHeight="1" thickBot="1">
      <c r="A126" s="220">
        <v>5</v>
      </c>
      <c r="B126" s="103" t="s">
        <v>356</v>
      </c>
      <c r="C126" s="143"/>
      <c r="D126" s="143">
        <v>12</v>
      </c>
      <c r="E126" s="111">
        <v>94000</v>
      </c>
    </row>
    <row r="127" spans="1:5" ht="94.5" thickBot="1">
      <c r="A127" s="220">
        <v>6</v>
      </c>
      <c r="B127" s="103" t="s">
        <v>357</v>
      </c>
      <c r="C127" s="143"/>
      <c r="D127" s="143">
        <v>12</v>
      </c>
      <c r="E127" s="111">
        <v>36000</v>
      </c>
    </row>
    <row r="128" spans="1:5" ht="19.5" thickBot="1">
      <c r="A128" s="220">
        <v>7</v>
      </c>
      <c r="B128" s="103" t="s">
        <v>272</v>
      </c>
      <c r="C128" s="143"/>
      <c r="D128" s="143">
        <v>6</v>
      </c>
      <c r="E128" s="111">
        <v>310000</v>
      </c>
    </row>
    <row r="129" spans="1:5" ht="75.75" thickBot="1">
      <c r="A129" s="220">
        <v>8</v>
      </c>
      <c r="B129" s="103" t="s">
        <v>340</v>
      </c>
      <c r="C129" s="143"/>
      <c r="D129" s="143">
        <v>4</v>
      </c>
      <c r="E129" s="111">
        <v>8000</v>
      </c>
    </row>
    <row r="130" spans="1:5" ht="57" thickBot="1">
      <c r="A130" s="220">
        <v>9</v>
      </c>
      <c r="B130" s="103" t="s">
        <v>318</v>
      </c>
      <c r="C130" s="143"/>
      <c r="D130" s="143"/>
      <c r="E130" s="111">
        <v>91000</v>
      </c>
    </row>
    <row r="131" spans="1:5" ht="19.5" thickBot="1">
      <c r="A131" s="220">
        <v>10</v>
      </c>
      <c r="B131" s="103" t="s">
        <v>319</v>
      </c>
      <c r="C131" s="143"/>
      <c r="D131" s="143"/>
      <c r="E131" s="111">
        <v>30000</v>
      </c>
    </row>
    <row r="132" spans="1:5" ht="38.25" thickBot="1">
      <c r="A132" s="220">
        <v>11</v>
      </c>
      <c r="B132" s="103" t="s">
        <v>274</v>
      </c>
      <c r="C132" s="143"/>
      <c r="D132" s="143"/>
      <c r="E132" s="111">
        <v>30000</v>
      </c>
    </row>
    <row r="133" spans="1:5" ht="60.75" customHeight="1" thickBot="1">
      <c r="A133" s="220">
        <v>12</v>
      </c>
      <c r="B133" s="103" t="s">
        <v>358</v>
      </c>
      <c r="C133" s="143"/>
      <c r="D133" s="143"/>
      <c r="E133" s="111">
        <v>40000</v>
      </c>
    </row>
    <row r="134" spans="1:5" ht="38.25" thickBot="1">
      <c r="A134" s="220">
        <v>13</v>
      </c>
      <c r="B134" s="103" t="s">
        <v>359</v>
      </c>
      <c r="C134" s="143"/>
      <c r="D134" s="143"/>
      <c r="E134" s="111">
        <v>36000</v>
      </c>
    </row>
    <row r="135" spans="1:5" ht="38.25" thickBot="1">
      <c r="A135" s="220">
        <v>14</v>
      </c>
      <c r="B135" s="103" t="s">
        <v>378</v>
      </c>
      <c r="C135" s="143"/>
      <c r="D135" s="143"/>
      <c r="E135" s="111">
        <f>200000-36847.42</f>
        <v>163152.58000000002</v>
      </c>
    </row>
    <row r="136" spans="1:5" ht="38.25" thickBot="1">
      <c r="A136" s="220">
        <v>15</v>
      </c>
      <c r="B136" s="103" t="s">
        <v>379</v>
      </c>
      <c r="C136" s="143"/>
      <c r="D136" s="143"/>
      <c r="E136" s="111">
        <v>49222.24</v>
      </c>
    </row>
    <row r="137" spans="1:7" ht="19.5" thickBot="1">
      <c r="A137" s="220"/>
      <c r="B137" s="108" t="s">
        <v>138</v>
      </c>
      <c r="C137" s="66" t="s">
        <v>139</v>
      </c>
      <c r="D137" s="66" t="s">
        <v>139</v>
      </c>
      <c r="E137" s="112">
        <f>SUM(E122:E136)</f>
        <v>1160974.82</v>
      </c>
      <c r="F137" s="176">
        <f>'[2]дс 56'!$R$36-'[2]дс 56'!$R$9-'[2]дс 56'!$R$7-'[2]дс 56'!$R$6</f>
        <v>948600</v>
      </c>
      <c r="G137" s="175">
        <f>F137-E137</f>
        <v>-212374.82000000007</v>
      </c>
    </row>
    <row r="139" spans="1:5" ht="37.5" customHeight="1">
      <c r="A139" s="304" t="s">
        <v>306</v>
      </c>
      <c r="B139" s="304"/>
      <c r="C139" s="304"/>
      <c r="D139" s="304"/>
      <c r="E139" s="304"/>
    </row>
    <row r="140" ht="19.5" thickBot="1">
      <c r="A140" s="98"/>
    </row>
    <row r="141" spans="1:4" ht="38.25" thickBot="1">
      <c r="A141" s="91" t="s">
        <v>0</v>
      </c>
      <c r="B141" s="222" t="s">
        <v>140</v>
      </c>
      <c r="C141" s="222" t="s">
        <v>182</v>
      </c>
      <c r="D141" s="222" t="s">
        <v>183</v>
      </c>
    </row>
    <row r="142" spans="1:4" ht="19.5" thickBot="1">
      <c r="A142" s="220">
        <v>1</v>
      </c>
      <c r="B142" s="143">
        <v>2</v>
      </c>
      <c r="C142" s="143">
        <v>3</v>
      </c>
      <c r="D142" s="143">
        <v>4</v>
      </c>
    </row>
    <row r="143" spans="1:4" ht="24.75" customHeight="1" thickBot="1">
      <c r="A143" s="220">
        <v>1</v>
      </c>
      <c r="B143" s="103" t="s">
        <v>276</v>
      </c>
      <c r="C143" s="143">
        <v>1</v>
      </c>
      <c r="D143" s="111">
        <v>96000</v>
      </c>
    </row>
    <row r="144" spans="1:4" ht="24.75" customHeight="1" thickBot="1">
      <c r="A144" s="220">
        <v>2</v>
      </c>
      <c r="B144" s="103" t="s">
        <v>360</v>
      </c>
      <c r="C144" s="143">
        <v>1</v>
      </c>
      <c r="D144" s="111">
        <v>90000</v>
      </c>
    </row>
    <row r="145" spans="1:4" ht="38.25" customHeight="1" thickBot="1">
      <c r="A145" s="220">
        <v>3</v>
      </c>
      <c r="B145" s="103" t="s">
        <v>361</v>
      </c>
      <c r="C145" s="143">
        <v>1</v>
      </c>
      <c r="D145" s="111">
        <v>120000</v>
      </c>
    </row>
    <row r="146" spans="1:4" ht="37.5" customHeight="1" thickBot="1">
      <c r="A146" s="220">
        <v>4</v>
      </c>
      <c r="B146" s="103" t="s">
        <v>362</v>
      </c>
      <c r="C146" s="143"/>
      <c r="D146" s="111">
        <v>36000</v>
      </c>
    </row>
    <row r="147" spans="1:4" ht="28.5" customHeight="1" thickBot="1">
      <c r="A147" s="220">
        <v>5</v>
      </c>
      <c r="B147" s="103" t="s">
        <v>279</v>
      </c>
      <c r="C147" s="143"/>
      <c r="D147" s="111">
        <v>140000</v>
      </c>
    </row>
    <row r="148" spans="1:4" ht="19.5" thickBot="1">
      <c r="A148" s="220">
        <v>6</v>
      </c>
      <c r="B148" s="103" t="s">
        <v>320</v>
      </c>
      <c r="C148" s="143"/>
      <c r="D148" s="111">
        <v>35000</v>
      </c>
    </row>
    <row r="149" spans="1:4" ht="28.5" customHeight="1" thickBot="1">
      <c r="A149" s="220">
        <v>7</v>
      </c>
      <c r="B149" s="103" t="s">
        <v>321</v>
      </c>
      <c r="C149" s="143"/>
      <c r="D149" s="111">
        <v>30000</v>
      </c>
    </row>
    <row r="150" spans="1:4" ht="19.5" thickBot="1">
      <c r="A150" s="220">
        <v>8</v>
      </c>
      <c r="B150" s="103" t="s">
        <v>322</v>
      </c>
      <c r="C150" s="143"/>
      <c r="D150" s="111">
        <v>90000</v>
      </c>
    </row>
    <row r="151" spans="1:4" ht="19.5" thickBot="1">
      <c r="A151" s="220"/>
      <c r="B151" s="108" t="s">
        <v>138</v>
      </c>
      <c r="C151" s="66" t="s">
        <v>139</v>
      </c>
      <c r="D151" s="112">
        <f>SUM(D143:D150)</f>
        <v>637000</v>
      </c>
    </row>
    <row r="153" spans="1:6" ht="51" customHeight="1">
      <c r="A153" s="304" t="s">
        <v>307</v>
      </c>
      <c r="B153" s="304"/>
      <c r="C153" s="304"/>
      <c r="D153" s="304"/>
      <c r="E153" s="304"/>
      <c r="F153" s="304"/>
    </row>
    <row r="154" ht="15.75" thickBot="1"/>
    <row r="155" spans="1:5" ht="57" thickBot="1">
      <c r="A155" s="91" t="s">
        <v>0</v>
      </c>
      <c r="B155" s="222" t="s">
        <v>140</v>
      </c>
      <c r="C155" s="222" t="s">
        <v>176</v>
      </c>
      <c r="D155" s="222" t="s">
        <v>184</v>
      </c>
      <c r="E155" s="222" t="s">
        <v>185</v>
      </c>
    </row>
    <row r="156" spans="1:5" ht="19.5" thickBot="1">
      <c r="A156" s="220"/>
      <c r="B156" s="143">
        <v>1</v>
      </c>
      <c r="C156" s="143">
        <v>2</v>
      </c>
      <c r="D156" s="143">
        <v>3</v>
      </c>
      <c r="E156" s="143">
        <v>4</v>
      </c>
    </row>
    <row r="157" spans="1:5" ht="54.75" customHeight="1" hidden="1" thickBot="1">
      <c r="A157" s="220">
        <v>1</v>
      </c>
      <c r="B157" s="103" t="s">
        <v>284</v>
      </c>
      <c r="C157" s="143"/>
      <c r="D157" s="111">
        <f>E157</f>
        <v>0</v>
      </c>
      <c r="E157" s="111">
        <v>0</v>
      </c>
    </row>
    <row r="158" spans="1:5" ht="102" customHeight="1" hidden="1" thickBot="1">
      <c r="A158" s="220">
        <v>2</v>
      </c>
      <c r="B158" s="103" t="s">
        <v>287</v>
      </c>
      <c r="C158" s="143"/>
      <c r="D158" s="111">
        <f>E158</f>
        <v>0</v>
      </c>
      <c r="E158" s="111">
        <v>0</v>
      </c>
    </row>
    <row r="159" spans="1:5" ht="50.25" customHeight="1" hidden="1" thickBot="1">
      <c r="A159" s="221"/>
      <c r="B159" s="110" t="s">
        <v>293</v>
      </c>
      <c r="C159" s="66"/>
      <c r="D159" s="112"/>
      <c r="E159" s="112">
        <f>E158+E157</f>
        <v>0</v>
      </c>
    </row>
    <row r="160" spans="1:14" ht="49.5" customHeight="1" thickBot="1">
      <c r="A160" s="220">
        <v>1</v>
      </c>
      <c r="B160" s="103" t="s">
        <v>285</v>
      </c>
      <c r="C160" s="143"/>
      <c r="D160" s="111">
        <f>E160</f>
        <v>88183.82999999999</v>
      </c>
      <c r="E160" s="111">
        <f>148183.83-E161</f>
        <v>88183.82999999999</v>
      </c>
      <c r="L160" s="175" t="e">
        <f>F43+F90+E137+D151+E157+E160+E161+E97+#REF!</f>
        <v>#REF!</v>
      </c>
      <c r="M160" s="174">
        <v>2449905.76</v>
      </c>
      <c r="N160" s="175" t="e">
        <f>L160-M160</f>
        <v>#REF!</v>
      </c>
    </row>
    <row r="161" spans="1:14" ht="49.5" customHeight="1" thickBot="1">
      <c r="A161" s="220">
        <v>2</v>
      </c>
      <c r="B161" s="103" t="s">
        <v>323</v>
      </c>
      <c r="C161" s="143"/>
      <c r="D161" s="111">
        <f>E161</f>
        <v>60000</v>
      </c>
      <c r="E161" s="111">
        <v>60000</v>
      </c>
      <c r="L161" s="202">
        <f>E158+E162</f>
        <v>932103</v>
      </c>
      <c r="M161" s="176">
        <v>932103</v>
      </c>
      <c r="N161" s="202">
        <f>L161-M161</f>
        <v>0</v>
      </c>
    </row>
    <row r="162" spans="1:5" ht="85.5" customHeight="1" thickBot="1">
      <c r="A162" s="220">
        <v>3</v>
      </c>
      <c r="B162" s="103" t="s">
        <v>286</v>
      </c>
      <c r="C162" s="143"/>
      <c r="D162" s="111">
        <f>E162</f>
        <v>932103</v>
      </c>
      <c r="E162" s="111">
        <v>932103</v>
      </c>
    </row>
    <row r="163" spans="1:5" ht="50.25" customHeight="1" thickBot="1">
      <c r="A163" s="221"/>
      <c r="B163" s="110" t="s">
        <v>294</v>
      </c>
      <c r="C163" s="66"/>
      <c r="D163" s="112"/>
      <c r="E163" s="112">
        <f>E162+E161+E160</f>
        <v>1080286.83</v>
      </c>
    </row>
    <row r="165" ht="15.75">
      <c r="B165" s="235" t="s">
        <v>375</v>
      </c>
    </row>
    <row r="166" ht="15.75">
      <c r="B166" s="235" t="s">
        <v>381</v>
      </c>
    </row>
    <row r="168" spans="5:6" ht="15">
      <c r="E168" s="236">
        <f>E163+D151+E137+G109+E97+F90+E78+D55+F43+J28</f>
        <v>50809614.00450401</v>
      </c>
      <c r="F168" s="236">
        <f>' Мун. 2018'!E169-'Мун. 2019'!E168</f>
        <v>0</v>
      </c>
    </row>
  </sheetData>
  <sheetProtection/>
  <mergeCells count="35">
    <mergeCell ref="A11:J11"/>
    <mergeCell ref="A13:J13"/>
    <mergeCell ref="A15:J15"/>
    <mergeCell ref="A16:J16"/>
    <mergeCell ref="A18:J18"/>
    <mergeCell ref="A20:A22"/>
    <mergeCell ref="B20:B22"/>
    <mergeCell ref="C20:C22"/>
    <mergeCell ref="D20:G20"/>
    <mergeCell ref="H20:H22"/>
    <mergeCell ref="I20:I22"/>
    <mergeCell ref="J20:J22"/>
    <mergeCell ref="D21:D22"/>
    <mergeCell ref="E21:G21"/>
    <mergeCell ref="A28:B28"/>
    <mergeCell ref="A31:F31"/>
    <mergeCell ref="A38:F38"/>
    <mergeCell ref="A45:E45"/>
    <mergeCell ref="A50:A51"/>
    <mergeCell ref="C50:C51"/>
    <mergeCell ref="D50:D51"/>
    <mergeCell ref="A57:F57"/>
    <mergeCell ref="A59:F59"/>
    <mergeCell ref="A60:F60"/>
    <mergeCell ref="A68:G68"/>
    <mergeCell ref="A71:G71"/>
    <mergeCell ref="A72:G72"/>
    <mergeCell ref="A80:E80"/>
    <mergeCell ref="A153:F153"/>
    <mergeCell ref="A85:F85"/>
    <mergeCell ref="A92:F92"/>
    <mergeCell ref="A99:F99"/>
    <mergeCell ref="A111:E111"/>
    <mergeCell ref="A118:E118"/>
    <mergeCell ref="A139:E139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60" r:id="rId1"/>
  <rowBreaks count="7" manualBreakCount="7">
    <brk id="30" max="9" man="1"/>
    <brk id="44" max="9" man="1"/>
    <brk id="56" max="9" man="1"/>
    <brk id="79" max="9" man="1"/>
    <brk id="97" max="9" man="1"/>
    <brk id="117" max="9" man="1"/>
    <brk id="137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S168"/>
  <sheetViews>
    <sheetView view="pageBreakPreview" zoomScale="60" zoomScaleNormal="72" zoomScalePageLayoutView="0" workbookViewId="0" topLeftCell="A1">
      <selection activeCell="B168" sqref="B168"/>
    </sheetView>
  </sheetViews>
  <sheetFormatPr defaultColWidth="9.140625" defaultRowHeight="15"/>
  <cols>
    <col min="1" max="1" width="8.57421875" style="0" customWidth="1"/>
    <col min="2" max="2" width="30.140625" style="0" customWidth="1"/>
    <col min="3" max="3" width="16.421875" style="0" customWidth="1"/>
    <col min="4" max="4" width="17.140625" style="0" customWidth="1"/>
    <col min="5" max="5" width="19.8515625" style="0" customWidth="1"/>
    <col min="6" max="6" width="21.421875" style="0" customWidth="1"/>
    <col min="7" max="7" width="19.8515625" style="0" customWidth="1"/>
    <col min="8" max="8" width="15.421875" style="0" customWidth="1"/>
    <col min="9" max="9" width="15.00390625" style="0" customWidth="1"/>
    <col min="10" max="10" width="21.140625" style="0" customWidth="1"/>
    <col min="12" max="12" width="25.8515625" style="0" customWidth="1"/>
    <col min="13" max="13" width="18.7109375" style="0" customWidth="1"/>
    <col min="14" max="14" width="9.421875" style="0" bestFit="1" customWidth="1"/>
    <col min="18" max="19" width="13.421875" style="0" bestFit="1" customWidth="1"/>
  </cols>
  <sheetData>
    <row r="1" ht="18.75">
      <c r="J1" s="8" t="s">
        <v>118</v>
      </c>
    </row>
    <row r="2" ht="18.75">
      <c r="J2" s="8" t="s">
        <v>119</v>
      </c>
    </row>
    <row r="3" ht="16.5">
      <c r="J3" s="16" t="s">
        <v>120</v>
      </c>
    </row>
    <row r="4" ht="16.5">
      <c r="J4" s="16" t="s">
        <v>121</v>
      </c>
    </row>
    <row r="5" ht="16.5">
      <c r="J5" s="16" t="s">
        <v>122</v>
      </c>
    </row>
    <row r="6" ht="16.5">
      <c r="J6" s="16" t="s">
        <v>123</v>
      </c>
    </row>
    <row r="7" ht="16.5">
      <c r="J7" s="16" t="s">
        <v>124</v>
      </c>
    </row>
    <row r="8" ht="16.5">
      <c r="J8" s="16" t="s">
        <v>125</v>
      </c>
    </row>
    <row r="11" spans="1:10" ht="15" customHeight="1">
      <c r="A11" s="253" t="s">
        <v>336</v>
      </c>
      <c r="B11" s="253"/>
      <c r="C11" s="253"/>
      <c r="D11" s="253"/>
      <c r="E11" s="253"/>
      <c r="F11" s="253"/>
      <c r="G11" s="253"/>
      <c r="H11" s="253"/>
      <c r="I11" s="253"/>
      <c r="J11" s="253"/>
    </row>
    <row r="12" spans="1:10" ht="18.75">
      <c r="A12" s="87"/>
      <c r="B12" s="87"/>
      <c r="C12" s="161"/>
      <c r="D12" s="87"/>
      <c r="E12" s="87"/>
      <c r="F12" s="87"/>
      <c r="G12" s="87"/>
      <c r="H12" s="87"/>
      <c r="I12" s="87"/>
      <c r="J12" s="87"/>
    </row>
    <row r="13" spans="1:10" ht="18.75" hidden="1">
      <c r="A13" s="253" t="s">
        <v>126</v>
      </c>
      <c r="B13" s="253"/>
      <c r="C13" s="253"/>
      <c r="D13" s="253"/>
      <c r="E13" s="253"/>
      <c r="F13" s="253"/>
      <c r="G13" s="253"/>
      <c r="H13" s="253"/>
      <c r="I13" s="253"/>
      <c r="J13" s="253"/>
    </row>
    <row r="14" spans="1:10" ht="15" hidden="1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5" spans="1:10" ht="18.75" hidden="1">
      <c r="A15" s="315" t="s">
        <v>288</v>
      </c>
      <c r="B15" s="315"/>
      <c r="C15" s="315"/>
      <c r="D15" s="315"/>
      <c r="E15" s="315"/>
      <c r="F15" s="315"/>
      <c r="G15" s="315"/>
      <c r="H15" s="315"/>
      <c r="I15" s="315"/>
      <c r="J15" s="315"/>
    </row>
    <row r="16" spans="1:10" ht="21" customHeight="1" hidden="1">
      <c r="A16" s="315" t="s">
        <v>289</v>
      </c>
      <c r="B16" s="315"/>
      <c r="C16" s="315"/>
      <c r="D16" s="315"/>
      <c r="E16" s="315"/>
      <c r="F16" s="315"/>
      <c r="G16" s="315"/>
      <c r="H16" s="315"/>
      <c r="I16" s="315"/>
      <c r="J16" s="315"/>
    </row>
    <row r="17" ht="18.75" hidden="1">
      <c r="A17" s="17"/>
    </row>
    <row r="18" spans="1:10" ht="18.75" hidden="1">
      <c r="A18" s="253" t="s">
        <v>127</v>
      </c>
      <c r="B18" s="253"/>
      <c r="C18" s="253"/>
      <c r="D18" s="253"/>
      <c r="E18" s="253"/>
      <c r="F18" s="253"/>
      <c r="G18" s="253"/>
      <c r="H18" s="253"/>
      <c r="I18" s="253"/>
      <c r="J18" s="253"/>
    </row>
    <row r="19" ht="15" hidden="1">
      <c r="I19">
        <v>1.6</v>
      </c>
    </row>
    <row r="20" spans="1:10" ht="36" customHeight="1" hidden="1" thickBot="1">
      <c r="A20" s="263" t="s">
        <v>0</v>
      </c>
      <c r="B20" s="263" t="s">
        <v>128</v>
      </c>
      <c r="C20" s="263" t="s">
        <v>129</v>
      </c>
      <c r="D20" s="310" t="s">
        <v>130</v>
      </c>
      <c r="E20" s="311"/>
      <c r="F20" s="311"/>
      <c r="G20" s="312"/>
      <c r="H20" s="263" t="s">
        <v>131</v>
      </c>
      <c r="I20" s="263" t="s">
        <v>132</v>
      </c>
      <c r="J20" s="263" t="s">
        <v>133</v>
      </c>
    </row>
    <row r="21" spans="1:10" ht="19.5" hidden="1" thickBot="1">
      <c r="A21" s="300"/>
      <c r="B21" s="300"/>
      <c r="C21" s="300"/>
      <c r="D21" s="263" t="s">
        <v>134</v>
      </c>
      <c r="E21" s="310" t="s">
        <v>22</v>
      </c>
      <c r="F21" s="311"/>
      <c r="G21" s="312"/>
      <c r="H21" s="300"/>
      <c r="I21" s="300"/>
      <c r="J21" s="300"/>
    </row>
    <row r="22" spans="1:10" ht="109.5" customHeight="1" hidden="1" thickBot="1">
      <c r="A22" s="264"/>
      <c r="B22" s="264"/>
      <c r="C22" s="264"/>
      <c r="D22" s="264"/>
      <c r="E22" s="171" t="s">
        <v>135</v>
      </c>
      <c r="F22" s="171" t="s">
        <v>136</v>
      </c>
      <c r="G22" s="171" t="s">
        <v>137</v>
      </c>
      <c r="H22" s="264"/>
      <c r="I22" s="264"/>
      <c r="J22" s="264"/>
    </row>
    <row r="23" spans="1:10" ht="19.5" hidden="1" thickBot="1">
      <c r="A23" s="162">
        <v>1</v>
      </c>
      <c r="B23" s="171">
        <v>2</v>
      </c>
      <c r="C23" s="171">
        <v>3</v>
      </c>
      <c r="D23" s="171">
        <v>4</v>
      </c>
      <c r="E23" s="171">
        <v>5</v>
      </c>
      <c r="F23" s="171">
        <v>6</v>
      </c>
      <c r="G23" s="171">
        <v>7</v>
      </c>
      <c r="H23" s="171">
        <v>8</v>
      </c>
      <c r="I23" s="171">
        <v>9</v>
      </c>
      <c r="J23" s="171">
        <v>10</v>
      </c>
    </row>
    <row r="24" spans="1:13" ht="38.25" hidden="1" thickBot="1">
      <c r="A24" s="162"/>
      <c r="B24" s="162" t="s">
        <v>280</v>
      </c>
      <c r="C24" s="171"/>
      <c r="D24" s="15"/>
      <c r="E24" s="15"/>
      <c r="F24" s="15"/>
      <c r="G24" s="15"/>
      <c r="H24" s="15"/>
      <c r="I24" s="15"/>
      <c r="J24" s="15"/>
      <c r="L24" s="86"/>
      <c r="M24" s="86"/>
    </row>
    <row r="25" spans="1:13" ht="38.25" hidden="1" thickBot="1">
      <c r="A25" s="162"/>
      <c r="B25" s="162" t="s">
        <v>281</v>
      </c>
      <c r="C25" s="171"/>
      <c r="D25" s="15"/>
      <c r="E25" s="15"/>
      <c r="F25" s="15"/>
      <c r="G25" s="15"/>
      <c r="H25" s="85"/>
      <c r="I25" s="15"/>
      <c r="J25" s="15"/>
      <c r="L25" s="86"/>
      <c r="M25" s="86"/>
    </row>
    <row r="26" spans="1:12" ht="57" hidden="1" thickBot="1">
      <c r="A26" s="170"/>
      <c r="B26" s="162" t="s">
        <v>282</v>
      </c>
      <c r="C26" s="171"/>
      <c r="D26" s="15"/>
      <c r="E26" s="15"/>
      <c r="F26" s="15"/>
      <c r="G26" s="15"/>
      <c r="H26" s="15"/>
      <c r="I26" s="15"/>
      <c r="J26" s="15"/>
      <c r="L26" s="86"/>
    </row>
    <row r="27" spans="1:19" ht="38.25" hidden="1" thickBot="1">
      <c r="A27" s="170"/>
      <c r="B27" s="162" t="s">
        <v>283</v>
      </c>
      <c r="C27" s="171"/>
      <c r="D27" s="15"/>
      <c r="E27" s="58"/>
      <c r="F27" s="58"/>
      <c r="G27" s="15"/>
      <c r="H27" s="171"/>
      <c r="I27" s="15"/>
      <c r="J27" s="15"/>
      <c r="L27" s="86"/>
      <c r="M27" s="86"/>
      <c r="R27" s="86">
        <f>L27-J28</f>
        <v>0</v>
      </c>
      <c r="S27" s="107">
        <f>R27-259000-100000</f>
        <v>-359000</v>
      </c>
    </row>
    <row r="28" spans="1:12" ht="39.75" customHeight="1" hidden="1" thickBot="1">
      <c r="A28" s="313" t="s">
        <v>138</v>
      </c>
      <c r="B28" s="314"/>
      <c r="C28" s="116" t="s">
        <v>139</v>
      </c>
      <c r="D28" s="116"/>
      <c r="E28" s="116" t="s">
        <v>139</v>
      </c>
      <c r="F28" s="116" t="s">
        <v>139</v>
      </c>
      <c r="G28" s="116" t="s">
        <v>139</v>
      </c>
      <c r="H28" s="117" t="s">
        <v>139</v>
      </c>
      <c r="I28" s="116" t="s">
        <v>139</v>
      </c>
      <c r="J28" s="118">
        <f>SUM(J24:J27)</f>
        <v>0</v>
      </c>
      <c r="L28" s="86"/>
    </row>
    <row r="29" spans="12:13" ht="15" hidden="1">
      <c r="L29" s="88"/>
      <c r="M29" s="86"/>
    </row>
    <row r="30" spans="12:13" ht="15" hidden="1">
      <c r="L30" s="86"/>
      <c r="M30" s="86"/>
    </row>
    <row r="31" spans="1:12" s="89" customFormat="1" ht="38.25" customHeight="1" hidden="1">
      <c r="A31" s="304" t="s">
        <v>186</v>
      </c>
      <c r="B31" s="304"/>
      <c r="C31" s="304"/>
      <c r="D31" s="304"/>
      <c r="E31" s="304"/>
      <c r="F31" s="304"/>
      <c r="L31" s="90"/>
    </row>
    <row r="32" s="89" customFormat="1" ht="15" hidden="1">
      <c r="L32" s="90"/>
    </row>
    <row r="33" spans="1:12" s="89" customFormat="1" ht="123" customHeight="1" hidden="1" thickBot="1">
      <c r="A33" s="91" t="s">
        <v>0</v>
      </c>
      <c r="B33" s="144" t="s">
        <v>140</v>
      </c>
      <c r="C33" s="144" t="s">
        <v>141</v>
      </c>
      <c r="D33" s="144" t="s">
        <v>142</v>
      </c>
      <c r="E33" s="144" t="s">
        <v>143</v>
      </c>
      <c r="F33" s="144" t="s">
        <v>144</v>
      </c>
      <c r="L33" s="90"/>
    </row>
    <row r="34" spans="1:6" s="89" customFormat="1" ht="19.5" hidden="1" thickBot="1">
      <c r="A34" s="167">
        <v>1</v>
      </c>
      <c r="B34" s="143">
        <v>2</v>
      </c>
      <c r="C34" s="143">
        <v>3</v>
      </c>
      <c r="D34" s="143">
        <v>4</v>
      </c>
      <c r="E34" s="143">
        <v>5</v>
      </c>
      <c r="F34" s="143">
        <v>6</v>
      </c>
    </row>
    <row r="35" spans="1:6" s="89" customFormat="1" ht="19.5" hidden="1" thickBot="1">
      <c r="A35" s="167">
        <v>1</v>
      </c>
      <c r="B35" s="143"/>
      <c r="C35" s="92">
        <v>0</v>
      </c>
      <c r="D35" s="92">
        <v>0</v>
      </c>
      <c r="E35" s="92">
        <v>0</v>
      </c>
      <c r="F35" s="92">
        <f>C35*D35*E35</f>
        <v>0</v>
      </c>
    </row>
    <row r="36" spans="1:6" s="89" customFormat="1" ht="19.5" hidden="1" thickBot="1">
      <c r="A36" s="167"/>
      <c r="B36" s="108" t="s">
        <v>138</v>
      </c>
      <c r="C36" s="66" t="s">
        <v>139</v>
      </c>
      <c r="D36" s="66" t="s">
        <v>139</v>
      </c>
      <c r="E36" s="66" t="s">
        <v>139</v>
      </c>
      <c r="F36" s="109">
        <f>F35</f>
        <v>0</v>
      </c>
    </row>
    <row r="37" s="89" customFormat="1" ht="15" hidden="1"/>
    <row r="38" spans="1:6" s="89" customFormat="1" ht="18.75" hidden="1">
      <c r="A38" s="304" t="s">
        <v>187</v>
      </c>
      <c r="B38" s="304"/>
      <c r="C38" s="304"/>
      <c r="D38" s="304"/>
      <c r="E38" s="304"/>
      <c r="F38" s="304"/>
    </row>
    <row r="39" s="89" customFormat="1" ht="15" hidden="1"/>
    <row r="40" spans="1:6" s="89" customFormat="1" ht="124.5" customHeight="1" hidden="1" thickBot="1">
      <c r="A40" s="91" t="s">
        <v>0</v>
      </c>
      <c r="B40" s="144" t="s">
        <v>140</v>
      </c>
      <c r="C40" s="144" t="s">
        <v>145</v>
      </c>
      <c r="D40" s="144" t="s">
        <v>146</v>
      </c>
      <c r="E40" s="144" t="s">
        <v>147</v>
      </c>
      <c r="F40" s="144" t="s">
        <v>144</v>
      </c>
    </row>
    <row r="41" spans="1:6" s="89" customFormat="1" ht="19.5" hidden="1" thickBot="1">
      <c r="A41" s="167">
        <v>1</v>
      </c>
      <c r="B41" s="143">
        <v>2</v>
      </c>
      <c r="C41" s="143">
        <v>3</v>
      </c>
      <c r="D41" s="143">
        <v>4</v>
      </c>
      <c r="E41" s="143">
        <v>5</v>
      </c>
      <c r="F41" s="143">
        <v>6</v>
      </c>
    </row>
    <row r="42" spans="1:6" s="89" customFormat="1" ht="51.75" customHeight="1" hidden="1" thickBot="1">
      <c r="A42" s="167">
        <v>1</v>
      </c>
      <c r="B42" s="143" t="s">
        <v>265</v>
      </c>
      <c r="C42" s="143"/>
      <c r="D42" s="143"/>
      <c r="E42" s="92"/>
      <c r="F42" s="92">
        <f>C42*D42*E42</f>
        <v>0</v>
      </c>
    </row>
    <row r="43" spans="1:6" s="89" customFormat="1" ht="19.5" hidden="1" thickBot="1">
      <c r="A43" s="167"/>
      <c r="B43" s="108" t="s">
        <v>138</v>
      </c>
      <c r="C43" s="66" t="s">
        <v>139</v>
      </c>
      <c r="D43" s="66" t="s">
        <v>139</v>
      </c>
      <c r="E43" s="66" t="s">
        <v>139</v>
      </c>
      <c r="F43" s="112">
        <f>F42</f>
        <v>0</v>
      </c>
    </row>
    <row r="44" s="89" customFormat="1" ht="15" hidden="1"/>
    <row r="45" spans="1:5" s="89" customFormat="1" ht="80.25" customHeight="1" hidden="1">
      <c r="A45" s="304" t="s">
        <v>188</v>
      </c>
      <c r="B45" s="304"/>
      <c r="C45" s="304"/>
      <c r="D45" s="304"/>
      <c r="E45" s="304"/>
    </row>
    <row r="46" s="89" customFormat="1" ht="15" hidden="1"/>
    <row r="47" spans="1:4" s="89" customFormat="1" ht="144.75" customHeight="1" hidden="1" thickBot="1">
      <c r="A47" s="91" t="s">
        <v>0</v>
      </c>
      <c r="B47" s="144" t="s">
        <v>148</v>
      </c>
      <c r="C47" s="144" t="s">
        <v>149</v>
      </c>
      <c r="D47" s="144" t="s">
        <v>150</v>
      </c>
    </row>
    <row r="48" spans="1:4" s="89" customFormat="1" ht="19.5" hidden="1" thickBot="1">
      <c r="A48" s="167">
        <v>1</v>
      </c>
      <c r="B48" s="143">
        <v>2</v>
      </c>
      <c r="C48" s="143">
        <v>3</v>
      </c>
      <c r="D48" s="143">
        <v>4</v>
      </c>
    </row>
    <row r="49" spans="1:4" s="89" customFormat="1" ht="113.25" customHeight="1" hidden="1" thickBot="1">
      <c r="A49" s="167">
        <v>1</v>
      </c>
      <c r="B49" s="94" t="s">
        <v>151</v>
      </c>
      <c r="C49" s="143" t="s">
        <v>139</v>
      </c>
      <c r="D49" s="51"/>
    </row>
    <row r="50" spans="1:4" s="89" customFormat="1" ht="18.75" hidden="1">
      <c r="A50" s="282" t="s">
        <v>152</v>
      </c>
      <c r="B50" s="95" t="s">
        <v>22</v>
      </c>
      <c r="C50" s="282"/>
      <c r="D50" s="278"/>
    </row>
    <row r="51" spans="1:4" s="89" customFormat="1" ht="19.5" hidden="1" thickBot="1">
      <c r="A51" s="283"/>
      <c r="B51" s="96" t="s">
        <v>153</v>
      </c>
      <c r="C51" s="283"/>
      <c r="D51" s="279"/>
    </row>
    <row r="52" spans="1:4" s="89" customFormat="1" ht="19.5" hidden="1" thickBot="1">
      <c r="A52" s="167" t="s">
        <v>154</v>
      </c>
      <c r="B52" s="97" t="s">
        <v>155</v>
      </c>
      <c r="C52" s="143"/>
      <c r="D52" s="51"/>
    </row>
    <row r="53" spans="1:4" s="89" customFormat="1" ht="120.75" customHeight="1" hidden="1" thickBot="1">
      <c r="A53" s="167">
        <v>2</v>
      </c>
      <c r="B53" s="94" t="s">
        <v>156</v>
      </c>
      <c r="C53" s="143" t="s">
        <v>139</v>
      </c>
      <c r="D53" s="51"/>
    </row>
    <row r="54" spans="1:4" s="89" customFormat="1" ht="164.25" customHeight="1" hidden="1" thickBot="1">
      <c r="A54" s="167">
        <v>3</v>
      </c>
      <c r="B54" s="94" t="s">
        <v>157</v>
      </c>
      <c r="C54" s="51">
        <f>J28</f>
        <v>0</v>
      </c>
      <c r="D54" s="51">
        <f>C54*5.1%</f>
        <v>0</v>
      </c>
    </row>
    <row r="55" spans="1:4" s="89" customFormat="1" ht="19.5" hidden="1" thickBot="1">
      <c r="A55" s="167"/>
      <c r="B55" s="108" t="s">
        <v>138</v>
      </c>
      <c r="C55" s="66" t="s">
        <v>139</v>
      </c>
      <c r="D55" s="67">
        <f>D50+D53+D54</f>
        <v>0</v>
      </c>
    </row>
    <row r="56" s="89" customFormat="1" ht="15" hidden="1"/>
    <row r="57" spans="1:6" s="89" customFormat="1" ht="36" customHeight="1" hidden="1">
      <c r="A57" s="304" t="s">
        <v>189</v>
      </c>
      <c r="B57" s="304"/>
      <c r="C57" s="304"/>
      <c r="D57" s="304"/>
      <c r="E57" s="304"/>
      <c r="F57" s="304"/>
    </row>
    <row r="58" s="89" customFormat="1" ht="15" hidden="1"/>
    <row r="59" spans="1:6" s="89" customFormat="1" ht="18.75" hidden="1">
      <c r="A59" s="309" t="s">
        <v>190</v>
      </c>
      <c r="B59" s="309"/>
      <c r="C59" s="309"/>
      <c r="D59" s="309"/>
      <c r="E59" s="309"/>
      <c r="F59" s="309"/>
    </row>
    <row r="60" spans="1:6" s="89" customFormat="1" ht="18.75" hidden="1">
      <c r="A60" s="309" t="s">
        <v>191</v>
      </c>
      <c r="B60" s="309"/>
      <c r="C60" s="309"/>
      <c r="D60" s="309"/>
      <c r="E60" s="309"/>
      <c r="F60" s="309"/>
    </row>
    <row r="61" s="89" customFormat="1" ht="18.75" hidden="1">
      <c r="A61" s="98"/>
    </row>
    <row r="62" spans="1:5" s="89" customFormat="1" ht="108" customHeight="1" hidden="1" thickBot="1">
      <c r="A62" s="91" t="s">
        <v>0</v>
      </c>
      <c r="B62" s="144" t="s">
        <v>1</v>
      </c>
      <c r="C62" s="144" t="s">
        <v>158</v>
      </c>
      <c r="D62" s="144" t="s">
        <v>159</v>
      </c>
      <c r="E62" s="144" t="s">
        <v>160</v>
      </c>
    </row>
    <row r="63" spans="1:5" s="89" customFormat="1" ht="19.5" hidden="1" thickBot="1">
      <c r="A63" s="167">
        <v>1</v>
      </c>
      <c r="B63" s="143">
        <v>2</v>
      </c>
      <c r="C63" s="143">
        <v>3</v>
      </c>
      <c r="D63" s="143">
        <v>4</v>
      </c>
      <c r="E63" s="143">
        <v>5</v>
      </c>
    </row>
    <row r="64" spans="1:5" s="89" customFormat="1" ht="19.5" hidden="1" thickBot="1">
      <c r="A64" s="167"/>
      <c r="B64" s="143"/>
      <c r="C64" s="143"/>
      <c r="D64" s="143"/>
      <c r="E64" s="143"/>
    </row>
    <row r="65" spans="1:5" s="89" customFormat="1" ht="19.5" hidden="1" thickBot="1">
      <c r="A65" s="167"/>
      <c r="B65" s="108" t="s">
        <v>138</v>
      </c>
      <c r="C65" s="66" t="s">
        <v>139</v>
      </c>
      <c r="D65" s="66" t="s">
        <v>139</v>
      </c>
      <c r="E65" s="66"/>
    </row>
    <row r="66" s="89" customFormat="1" ht="15" hidden="1"/>
    <row r="67" s="89" customFormat="1" ht="15" hidden="1"/>
    <row r="68" spans="1:7" s="89" customFormat="1" ht="18.75" hidden="1">
      <c r="A68" s="307" t="s">
        <v>192</v>
      </c>
      <c r="B68" s="307"/>
      <c r="C68" s="307"/>
      <c r="D68" s="307"/>
      <c r="E68" s="307"/>
      <c r="F68" s="307"/>
      <c r="G68" s="307"/>
    </row>
    <row r="69" s="89" customFormat="1" ht="18.75" hidden="1">
      <c r="A69" s="99"/>
    </row>
    <row r="70" s="89" customFormat="1" ht="18.75" hidden="1">
      <c r="A70" s="98"/>
    </row>
    <row r="71" spans="1:7" s="89" customFormat="1" ht="18.75" hidden="1">
      <c r="A71" s="309" t="s">
        <v>257</v>
      </c>
      <c r="B71" s="309"/>
      <c r="C71" s="309"/>
      <c r="D71" s="309"/>
      <c r="E71" s="309"/>
      <c r="F71" s="309"/>
      <c r="G71" s="309"/>
    </row>
    <row r="72" spans="1:7" s="89" customFormat="1" ht="18.75" hidden="1">
      <c r="A72" s="309" t="s">
        <v>256</v>
      </c>
      <c r="B72" s="309"/>
      <c r="C72" s="309"/>
      <c r="D72" s="309"/>
      <c r="E72" s="309"/>
      <c r="F72" s="309"/>
      <c r="G72" s="309"/>
    </row>
    <row r="73" s="89" customFormat="1" ht="18.75" hidden="1">
      <c r="A73" s="98"/>
    </row>
    <row r="74" spans="1:5" s="89" customFormat="1" ht="141.75" customHeight="1" hidden="1" thickBot="1">
      <c r="A74" s="91" t="s">
        <v>0</v>
      </c>
      <c r="B74" s="144" t="s">
        <v>140</v>
      </c>
      <c r="C74" s="144" t="s">
        <v>161</v>
      </c>
      <c r="D74" s="144" t="s">
        <v>162</v>
      </c>
      <c r="E74" s="144" t="s">
        <v>163</v>
      </c>
    </row>
    <row r="75" spans="1:5" s="89" customFormat="1" ht="19.5" hidden="1" thickBot="1">
      <c r="A75" s="167">
        <v>1</v>
      </c>
      <c r="B75" s="143">
        <v>2</v>
      </c>
      <c r="C75" s="143">
        <v>3</v>
      </c>
      <c r="D75" s="143">
        <v>4</v>
      </c>
      <c r="E75" s="143">
        <v>5</v>
      </c>
    </row>
    <row r="76" spans="1:8" s="89" customFormat="1" ht="19.5" hidden="1" thickBot="1">
      <c r="A76" s="167">
        <v>1</v>
      </c>
      <c r="B76" s="143" t="s">
        <v>254</v>
      </c>
      <c r="C76" s="111"/>
      <c r="D76" s="111"/>
      <c r="E76" s="111"/>
      <c r="H76" s="100"/>
    </row>
    <row r="77" spans="1:5" s="89" customFormat="1" ht="27" customHeight="1" hidden="1" thickBot="1">
      <c r="A77" s="167">
        <v>2</v>
      </c>
      <c r="B77" s="143" t="s">
        <v>255</v>
      </c>
      <c r="C77" s="111"/>
      <c r="D77" s="111"/>
      <c r="E77" s="111"/>
    </row>
    <row r="78" spans="1:5" s="89" customFormat="1" ht="19.5" hidden="1" thickBot="1">
      <c r="A78" s="167"/>
      <c r="B78" s="108" t="s">
        <v>138</v>
      </c>
      <c r="C78" s="112"/>
      <c r="D78" s="112" t="s">
        <v>139</v>
      </c>
      <c r="E78" s="112">
        <f>E77+E76</f>
        <v>0</v>
      </c>
    </row>
    <row r="79" s="89" customFormat="1" ht="15"/>
    <row r="80" spans="1:9" s="89" customFormat="1" ht="18.75">
      <c r="A80" s="307" t="s">
        <v>300</v>
      </c>
      <c r="B80" s="307"/>
      <c r="C80" s="307"/>
      <c r="D80" s="307"/>
      <c r="E80" s="307"/>
      <c r="F80" s="307"/>
      <c r="G80" s="307"/>
      <c r="H80" s="307"/>
      <c r="I80" s="307"/>
    </row>
    <row r="81" s="89" customFormat="1" ht="18.75">
      <c r="A81" s="99"/>
    </row>
    <row r="82" s="89" customFormat="1" ht="18.75">
      <c r="A82" s="101" t="s">
        <v>290</v>
      </c>
    </row>
    <row r="83" spans="1:7" s="89" customFormat="1" ht="17.25" customHeight="1">
      <c r="A83" s="169" t="s">
        <v>308</v>
      </c>
      <c r="B83" s="169"/>
      <c r="C83" s="169"/>
      <c r="D83" s="169"/>
      <c r="E83" s="169"/>
      <c r="F83" s="169"/>
      <c r="G83" s="169"/>
    </row>
    <row r="84" s="89" customFormat="1" ht="18.75" hidden="1">
      <c r="A84" s="101"/>
    </row>
    <row r="85" spans="1:6" s="89" customFormat="1" ht="18.75" hidden="1">
      <c r="A85" s="307" t="s">
        <v>164</v>
      </c>
      <c r="B85" s="307"/>
      <c r="C85" s="307"/>
      <c r="D85" s="307"/>
      <c r="E85" s="307"/>
      <c r="F85" s="307"/>
    </row>
    <row r="86" s="89" customFormat="1" ht="15" hidden="1"/>
    <row r="87" spans="1:6" s="89" customFormat="1" ht="57" hidden="1" thickBot="1">
      <c r="A87" s="91" t="s">
        <v>0</v>
      </c>
      <c r="B87" s="144" t="s">
        <v>140</v>
      </c>
      <c r="C87" s="144" t="s">
        <v>165</v>
      </c>
      <c r="D87" s="144" t="s">
        <v>166</v>
      </c>
      <c r="E87" s="144" t="s">
        <v>167</v>
      </c>
      <c r="F87" s="144" t="s">
        <v>144</v>
      </c>
    </row>
    <row r="88" spans="1:6" s="89" customFormat="1" ht="19.5" hidden="1" thickBot="1">
      <c r="A88" s="167">
        <v>1</v>
      </c>
      <c r="B88" s="143">
        <v>2</v>
      </c>
      <c r="C88" s="143">
        <v>3</v>
      </c>
      <c r="D88" s="143">
        <v>4</v>
      </c>
      <c r="E88" s="143">
        <v>5</v>
      </c>
      <c r="F88" s="143">
        <v>6</v>
      </c>
    </row>
    <row r="89" spans="1:6" s="89" customFormat="1" ht="38.25" hidden="1" thickBot="1">
      <c r="A89" s="167">
        <v>1</v>
      </c>
      <c r="B89" s="143" t="s">
        <v>258</v>
      </c>
      <c r="C89" s="143"/>
      <c r="D89" s="143"/>
      <c r="E89" s="111"/>
      <c r="F89" s="111">
        <f>C89*D89*E89</f>
        <v>0</v>
      </c>
    </row>
    <row r="90" spans="1:6" s="89" customFormat="1" ht="19.5" hidden="1" thickBot="1">
      <c r="A90" s="167"/>
      <c r="B90" s="108" t="s">
        <v>138</v>
      </c>
      <c r="C90" s="66" t="s">
        <v>139</v>
      </c>
      <c r="D90" s="66" t="s">
        <v>139</v>
      </c>
      <c r="E90" s="66" t="s">
        <v>139</v>
      </c>
      <c r="F90" s="112">
        <f>F89</f>
        <v>0</v>
      </c>
    </row>
    <row r="91" s="89" customFormat="1" ht="15" hidden="1"/>
    <row r="92" spans="1:6" s="89" customFormat="1" ht="30" customHeight="1" hidden="1">
      <c r="A92" s="307" t="s">
        <v>168</v>
      </c>
      <c r="B92" s="307"/>
      <c r="C92" s="307"/>
      <c r="D92" s="307"/>
      <c r="E92" s="307"/>
      <c r="F92" s="307"/>
    </row>
    <row r="93" s="89" customFormat="1" ht="15" hidden="1"/>
    <row r="94" spans="1:5" s="89" customFormat="1" ht="57" hidden="1" thickBot="1">
      <c r="A94" s="91" t="s">
        <v>0</v>
      </c>
      <c r="B94" s="144" t="s">
        <v>140</v>
      </c>
      <c r="C94" s="144" t="s">
        <v>169</v>
      </c>
      <c r="D94" s="144" t="s">
        <v>170</v>
      </c>
      <c r="E94" s="144" t="s">
        <v>171</v>
      </c>
    </row>
    <row r="95" spans="1:5" s="89" customFormat="1" ht="19.5" hidden="1" thickBot="1">
      <c r="A95" s="167">
        <v>1</v>
      </c>
      <c r="B95" s="143">
        <v>2</v>
      </c>
      <c r="C95" s="143">
        <v>3</v>
      </c>
      <c r="D95" s="143">
        <v>4</v>
      </c>
      <c r="E95" s="143">
        <v>5</v>
      </c>
    </row>
    <row r="96" spans="1:5" s="89" customFormat="1" ht="19.5" hidden="1" thickBot="1">
      <c r="A96" s="167"/>
      <c r="B96" s="143"/>
      <c r="C96" s="92">
        <v>0</v>
      </c>
      <c r="D96" s="92">
        <v>0</v>
      </c>
      <c r="E96" s="92">
        <f>C96*D96</f>
        <v>0</v>
      </c>
    </row>
    <row r="97" spans="1:5" s="89" customFormat="1" ht="19.5" hidden="1" thickBot="1">
      <c r="A97" s="167"/>
      <c r="B97" s="114" t="s">
        <v>138</v>
      </c>
      <c r="C97" s="115">
        <f>C96</f>
        <v>0</v>
      </c>
      <c r="D97" s="115">
        <f>D96</f>
        <v>0</v>
      </c>
      <c r="E97" s="115">
        <f>E96</f>
        <v>0</v>
      </c>
    </row>
    <row r="98" s="89" customFormat="1" ht="15" hidden="1"/>
    <row r="99" spans="1:6" s="89" customFormat="1" ht="18.75" hidden="1">
      <c r="A99" s="307" t="s">
        <v>172</v>
      </c>
      <c r="B99" s="307"/>
      <c r="C99" s="307"/>
      <c r="D99" s="307"/>
      <c r="E99" s="307"/>
      <c r="F99" s="307"/>
    </row>
    <row r="100" s="89" customFormat="1" ht="15" hidden="1"/>
    <row r="101" spans="1:7" s="89" customFormat="1" ht="57" hidden="1" thickBot="1">
      <c r="A101" s="91" t="s">
        <v>0</v>
      </c>
      <c r="B101" s="144" t="s">
        <v>1</v>
      </c>
      <c r="C101" s="144" t="s">
        <v>295</v>
      </c>
      <c r="D101" s="144" t="s">
        <v>291</v>
      </c>
      <c r="E101" s="144" t="s">
        <v>173</v>
      </c>
      <c r="F101" s="144" t="s">
        <v>174</v>
      </c>
      <c r="G101" s="144" t="s">
        <v>297</v>
      </c>
    </row>
    <row r="102" spans="1:7" s="89" customFormat="1" ht="19.5" hidden="1" thickBot="1">
      <c r="A102" s="167">
        <v>1</v>
      </c>
      <c r="B102" s="143">
        <v>2</v>
      </c>
      <c r="C102" s="143">
        <v>3</v>
      </c>
      <c r="D102" s="143">
        <v>4</v>
      </c>
      <c r="E102" s="143">
        <v>5</v>
      </c>
      <c r="F102" s="143">
        <v>6</v>
      </c>
      <c r="G102" s="143">
        <v>7</v>
      </c>
    </row>
    <row r="103" spans="1:7" s="89" customFormat="1" ht="47.25" customHeight="1" hidden="1" thickBot="1">
      <c r="A103" s="167">
        <v>1</v>
      </c>
      <c r="B103" s="167" t="s">
        <v>259</v>
      </c>
      <c r="C103" s="92" t="s">
        <v>296</v>
      </c>
      <c r="D103" s="92"/>
      <c r="E103" s="92"/>
      <c r="F103" s="143"/>
      <c r="G103" s="102"/>
    </row>
    <row r="104" spans="1:7" s="89" customFormat="1" ht="47.25" customHeight="1" hidden="1" thickBot="1">
      <c r="A104" s="167">
        <v>2</v>
      </c>
      <c r="B104" s="167" t="s">
        <v>260</v>
      </c>
      <c r="C104" s="92" t="s">
        <v>296</v>
      </c>
      <c r="D104" s="92"/>
      <c r="E104" s="92"/>
      <c r="F104" s="143"/>
      <c r="G104" s="102"/>
    </row>
    <row r="105" spans="1:7" s="89" customFormat="1" ht="47.25" customHeight="1" hidden="1" thickBot="1">
      <c r="A105" s="167">
        <v>3</v>
      </c>
      <c r="B105" s="167" t="s">
        <v>261</v>
      </c>
      <c r="C105" s="92" t="s">
        <v>298</v>
      </c>
      <c r="D105" s="92"/>
      <c r="E105" s="92"/>
      <c r="F105" s="143"/>
      <c r="G105" s="102"/>
    </row>
    <row r="106" spans="1:7" s="89" customFormat="1" ht="47.25" customHeight="1" hidden="1" thickBot="1">
      <c r="A106" s="167">
        <v>4</v>
      </c>
      <c r="B106" s="167" t="s">
        <v>262</v>
      </c>
      <c r="C106" s="92" t="s">
        <v>299</v>
      </c>
      <c r="D106" s="92"/>
      <c r="E106" s="92"/>
      <c r="F106" s="143"/>
      <c r="G106" s="102"/>
    </row>
    <row r="107" spans="1:7" s="89" customFormat="1" ht="47.25" customHeight="1" hidden="1" thickBot="1">
      <c r="A107" s="167">
        <v>5</v>
      </c>
      <c r="B107" s="167" t="s">
        <v>263</v>
      </c>
      <c r="C107" s="92" t="s">
        <v>299</v>
      </c>
      <c r="D107" s="92"/>
      <c r="E107" s="92"/>
      <c r="F107" s="143"/>
      <c r="G107" s="102"/>
    </row>
    <row r="108" spans="1:7" s="89" customFormat="1" ht="47.25" customHeight="1" hidden="1" thickBot="1">
      <c r="A108" s="167">
        <v>6</v>
      </c>
      <c r="B108" s="167" t="s">
        <v>264</v>
      </c>
      <c r="C108" s="92" t="s">
        <v>299</v>
      </c>
      <c r="D108" s="92"/>
      <c r="E108" s="92"/>
      <c r="F108" s="143"/>
      <c r="G108" s="102"/>
    </row>
    <row r="109" spans="1:7" s="89" customFormat="1" ht="19.5" hidden="1" thickBot="1">
      <c r="A109" s="167"/>
      <c r="B109" s="108" t="s">
        <v>138</v>
      </c>
      <c r="C109" s="66" t="s">
        <v>139</v>
      </c>
      <c r="D109" s="66" t="s">
        <v>139</v>
      </c>
      <c r="E109" s="66" t="s">
        <v>139</v>
      </c>
      <c r="F109" s="66" t="s">
        <v>139</v>
      </c>
      <c r="G109" s="113">
        <f>G108+G107+G106+G105+G104+G103</f>
        <v>0</v>
      </c>
    </row>
    <row r="110" s="89" customFormat="1" ht="15" hidden="1"/>
    <row r="111" spans="1:6" s="89" customFormat="1" ht="18.75" hidden="1">
      <c r="A111" s="307" t="s">
        <v>175</v>
      </c>
      <c r="B111" s="307"/>
      <c r="C111" s="307"/>
      <c r="D111" s="307"/>
      <c r="E111" s="307"/>
      <c r="F111" s="101"/>
    </row>
    <row r="112" s="89" customFormat="1" ht="15" hidden="1"/>
    <row r="113" spans="1:5" s="89" customFormat="1" ht="57" hidden="1" thickBot="1">
      <c r="A113" s="91" t="s">
        <v>0</v>
      </c>
      <c r="B113" s="144" t="s">
        <v>1</v>
      </c>
      <c r="C113" s="144" t="s">
        <v>176</v>
      </c>
      <c r="D113" s="144" t="s">
        <v>177</v>
      </c>
      <c r="E113" s="144" t="s">
        <v>178</v>
      </c>
    </row>
    <row r="114" spans="1:5" s="89" customFormat="1" ht="19.5" hidden="1" thickBot="1">
      <c r="A114" s="167">
        <v>1</v>
      </c>
      <c r="B114" s="143">
        <v>2</v>
      </c>
      <c r="C114" s="143">
        <v>3</v>
      </c>
      <c r="D114" s="143">
        <v>4</v>
      </c>
      <c r="E114" s="143">
        <v>5</v>
      </c>
    </row>
    <row r="115" spans="1:5" s="89" customFormat="1" ht="19.5" hidden="1" thickBot="1">
      <c r="A115" s="167"/>
      <c r="B115" s="143"/>
      <c r="C115" s="143"/>
      <c r="D115" s="143"/>
      <c r="E115" s="143"/>
    </row>
    <row r="116" spans="1:5" s="89" customFormat="1" ht="19.5" hidden="1" thickBot="1">
      <c r="A116" s="167"/>
      <c r="B116" s="93" t="s">
        <v>138</v>
      </c>
      <c r="C116" s="143" t="s">
        <v>139</v>
      </c>
      <c r="D116" s="143" t="s">
        <v>139</v>
      </c>
      <c r="E116" s="143" t="s">
        <v>139</v>
      </c>
    </row>
    <row r="117" s="89" customFormat="1" ht="15" hidden="1"/>
    <row r="118" spans="1:5" s="89" customFormat="1" ht="39.75" customHeight="1" hidden="1">
      <c r="A118" s="304" t="s">
        <v>193</v>
      </c>
      <c r="B118" s="304"/>
      <c r="C118" s="304"/>
      <c r="D118" s="304"/>
      <c r="E118" s="304"/>
    </row>
    <row r="119" s="89" customFormat="1" ht="18.75" hidden="1">
      <c r="A119" s="98"/>
    </row>
    <row r="120" spans="1:5" s="89" customFormat="1" ht="57" hidden="1" thickBot="1">
      <c r="A120" s="91" t="s">
        <v>0</v>
      </c>
      <c r="B120" s="144" t="s">
        <v>140</v>
      </c>
      <c r="C120" s="144" t="s">
        <v>179</v>
      </c>
      <c r="D120" s="144" t="s">
        <v>180</v>
      </c>
      <c r="E120" s="144" t="s">
        <v>181</v>
      </c>
    </row>
    <row r="121" spans="1:5" s="89" customFormat="1" ht="19.5" hidden="1" thickBot="1">
      <c r="A121" s="167">
        <v>1</v>
      </c>
      <c r="B121" s="143">
        <v>2</v>
      </c>
      <c r="C121" s="143">
        <v>3</v>
      </c>
      <c r="D121" s="143">
        <v>4</v>
      </c>
      <c r="E121" s="143">
        <v>5</v>
      </c>
    </row>
    <row r="122" spans="1:5" s="89" customFormat="1" ht="19.5" hidden="1" thickBot="1">
      <c r="A122" s="167">
        <v>1</v>
      </c>
      <c r="B122" s="103" t="s">
        <v>266</v>
      </c>
      <c r="C122" s="143"/>
      <c r="D122" s="143"/>
      <c r="E122" s="111"/>
    </row>
    <row r="123" spans="1:5" s="89" customFormat="1" ht="19.5" hidden="1" thickBot="1">
      <c r="A123" s="167">
        <v>2</v>
      </c>
      <c r="B123" s="103" t="s">
        <v>267</v>
      </c>
      <c r="C123" s="143"/>
      <c r="D123" s="143"/>
      <c r="E123" s="111"/>
    </row>
    <row r="124" spans="1:5" s="89" customFormat="1" ht="19.5" hidden="1" thickBot="1">
      <c r="A124" s="167">
        <v>3</v>
      </c>
      <c r="B124" s="103" t="s">
        <v>268</v>
      </c>
      <c r="C124" s="143"/>
      <c r="D124" s="143"/>
      <c r="E124" s="111"/>
    </row>
    <row r="125" spans="1:5" s="89" customFormat="1" ht="38.25" hidden="1" thickBot="1">
      <c r="A125" s="167">
        <v>4</v>
      </c>
      <c r="B125" s="103" t="s">
        <v>269</v>
      </c>
      <c r="C125" s="143"/>
      <c r="D125" s="143"/>
      <c r="E125" s="111"/>
    </row>
    <row r="126" spans="1:5" s="89" customFormat="1" ht="24.75" customHeight="1" hidden="1" thickBot="1">
      <c r="A126" s="167">
        <v>5</v>
      </c>
      <c r="B126" s="103" t="s">
        <v>270</v>
      </c>
      <c r="C126" s="143"/>
      <c r="D126" s="143"/>
      <c r="E126" s="111"/>
    </row>
    <row r="127" spans="1:12" s="89" customFormat="1" ht="57" hidden="1" thickBot="1">
      <c r="A127" s="167">
        <v>6</v>
      </c>
      <c r="B127" s="103" t="s">
        <v>271</v>
      </c>
      <c r="C127" s="143"/>
      <c r="D127" s="143"/>
      <c r="E127" s="111"/>
      <c r="L127" s="123">
        <f>233280-D148-E155-E157</f>
        <v>0</v>
      </c>
    </row>
    <row r="128" spans="1:5" s="89" customFormat="1" ht="19.5" hidden="1" thickBot="1">
      <c r="A128" s="167">
        <v>7</v>
      </c>
      <c r="B128" s="103" t="s">
        <v>272</v>
      </c>
      <c r="C128" s="143"/>
      <c r="D128" s="143"/>
      <c r="E128" s="111"/>
    </row>
    <row r="129" spans="1:5" s="89" customFormat="1" ht="38.25" hidden="1" thickBot="1">
      <c r="A129" s="167">
        <v>8</v>
      </c>
      <c r="B129" s="103" t="s">
        <v>273</v>
      </c>
      <c r="C129" s="143"/>
      <c r="D129" s="143"/>
      <c r="E129" s="111"/>
    </row>
    <row r="130" spans="1:5" s="89" customFormat="1" ht="38.25" hidden="1" thickBot="1">
      <c r="A130" s="167">
        <v>9</v>
      </c>
      <c r="B130" s="103" t="s">
        <v>292</v>
      </c>
      <c r="C130" s="143"/>
      <c r="D130" s="143"/>
      <c r="E130" s="111"/>
    </row>
    <row r="131" spans="1:5" s="89" customFormat="1" ht="38.25" hidden="1" thickBot="1">
      <c r="A131" s="167">
        <v>10</v>
      </c>
      <c r="B131" s="103" t="s">
        <v>274</v>
      </c>
      <c r="C131" s="143"/>
      <c r="D131" s="143"/>
      <c r="E131" s="111"/>
    </row>
    <row r="132" spans="1:5" s="89" customFormat="1" ht="57" hidden="1" thickBot="1">
      <c r="A132" s="167">
        <v>11</v>
      </c>
      <c r="B132" s="103" t="s">
        <v>275</v>
      </c>
      <c r="C132" s="143"/>
      <c r="D132" s="143"/>
      <c r="E132" s="111"/>
    </row>
    <row r="133" spans="1:5" s="89" customFormat="1" ht="27" customHeight="1" hidden="1" thickBot="1">
      <c r="A133" s="167"/>
      <c r="B133" s="143"/>
      <c r="C133" s="143"/>
      <c r="D133" s="143"/>
      <c r="E133" s="111"/>
    </row>
    <row r="134" spans="1:5" s="89" customFormat="1" ht="19.5" hidden="1" thickBot="1">
      <c r="A134" s="167"/>
      <c r="B134" s="143"/>
      <c r="C134" s="143"/>
      <c r="D134" s="143"/>
      <c r="E134" s="111"/>
    </row>
    <row r="135" spans="1:5" s="89" customFormat="1" ht="19.5" hidden="1" thickBot="1">
      <c r="A135" s="167"/>
      <c r="B135" s="108" t="s">
        <v>138</v>
      </c>
      <c r="C135" s="66" t="s">
        <v>139</v>
      </c>
      <c r="D135" s="66" t="s">
        <v>139</v>
      </c>
      <c r="E135" s="112">
        <f>SUM(E122:E134)</f>
        <v>0</v>
      </c>
    </row>
    <row r="136" s="89" customFormat="1" ht="15"/>
    <row r="137" spans="1:5" s="89" customFormat="1" ht="37.5" customHeight="1">
      <c r="A137" s="304" t="s">
        <v>331</v>
      </c>
      <c r="B137" s="304"/>
      <c r="C137" s="304"/>
      <c r="D137" s="304"/>
      <c r="E137" s="304"/>
    </row>
    <row r="138" s="89" customFormat="1" ht="19.5" thickBot="1">
      <c r="A138" s="98"/>
    </row>
    <row r="139" spans="1:4" s="89" customFormat="1" ht="38.25" thickBot="1">
      <c r="A139" s="91" t="s">
        <v>0</v>
      </c>
      <c r="B139" s="144" t="s">
        <v>140</v>
      </c>
      <c r="C139" s="144" t="s">
        <v>182</v>
      </c>
      <c r="D139" s="144" t="s">
        <v>183</v>
      </c>
    </row>
    <row r="140" spans="1:4" s="89" customFormat="1" ht="19.5" thickBot="1">
      <c r="A140" s="167">
        <v>1</v>
      </c>
      <c r="B140" s="143">
        <v>2</v>
      </c>
      <c r="C140" s="143">
        <v>3</v>
      </c>
      <c r="D140" s="143">
        <v>4</v>
      </c>
    </row>
    <row r="141" spans="1:4" s="89" customFormat="1" ht="75" customHeight="1" thickBot="1">
      <c r="A141" s="167">
        <v>1</v>
      </c>
      <c r="B141" s="103" t="s">
        <v>327</v>
      </c>
      <c r="C141" s="143"/>
      <c r="D141" s="111">
        <v>139968</v>
      </c>
    </row>
    <row r="142" spans="1:4" s="89" customFormat="1" ht="24.75" customHeight="1" hidden="1" thickBot="1">
      <c r="A142" s="167">
        <v>2</v>
      </c>
      <c r="B142" s="103" t="s">
        <v>277</v>
      </c>
      <c r="C142" s="143"/>
      <c r="D142" s="111"/>
    </row>
    <row r="143" spans="1:4" s="89" customFormat="1" ht="62.25" customHeight="1" hidden="1" thickBot="1">
      <c r="A143" s="167">
        <v>3</v>
      </c>
      <c r="B143" s="103" t="s">
        <v>278</v>
      </c>
      <c r="C143" s="143"/>
      <c r="D143" s="111"/>
    </row>
    <row r="144" spans="1:4" s="89" customFormat="1" ht="24.75" customHeight="1" hidden="1" thickBot="1">
      <c r="A144" s="167">
        <v>4</v>
      </c>
      <c r="B144" s="103" t="s">
        <v>279</v>
      </c>
      <c r="C144" s="143"/>
      <c r="D144" s="111"/>
    </row>
    <row r="145" spans="1:4" s="89" customFormat="1" ht="24.75" customHeight="1" hidden="1" thickBot="1">
      <c r="A145" s="167"/>
      <c r="B145" s="143"/>
      <c r="C145" s="143"/>
      <c r="D145" s="111"/>
    </row>
    <row r="146" spans="1:4" s="89" customFormat="1" ht="19.5" hidden="1" thickBot="1">
      <c r="A146" s="167"/>
      <c r="B146" s="143"/>
      <c r="C146" s="143"/>
      <c r="D146" s="111"/>
    </row>
    <row r="147" spans="1:4" s="89" customFormat="1" ht="19.5" hidden="1" thickBot="1">
      <c r="A147" s="167"/>
      <c r="B147" s="143"/>
      <c r="C147" s="143"/>
      <c r="D147" s="111"/>
    </row>
    <row r="148" spans="1:4" s="89" customFormat="1" ht="19.5" thickBot="1">
      <c r="A148" s="167"/>
      <c r="B148" s="108" t="s">
        <v>138</v>
      </c>
      <c r="C148" s="66" t="s">
        <v>139</v>
      </c>
      <c r="D148" s="112">
        <f>D147+D146+D145+D144+D143+D142+D141</f>
        <v>139968</v>
      </c>
    </row>
    <row r="149" s="89" customFormat="1" ht="15"/>
    <row r="150" spans="1:6" s="89" customFormat="1" ht="51" customHeight="1">
      <c r="A150" s="304" t="s">
        <v>332</v>
      </c>
      <c r="B150" s="304"/>
      <c r="C150" s="304"/>
      <c r="D150" s="304"/>
      <c r="E150" s="304"/>
      <c r="F150" s="304"/>
    </row>
    <row r="151" s="89" customFormat="1" ht="15.75" thickBot="1"/>
    <row r="152" spans="1:5" s="89" customFormat="1" ht="57" thickBot="1">
      <c r="A152" s="91" t="s">
        <v>0</v>
      </c>
      <c r="B152" s="144" t="s">
        <v>140</v>
      </c>
      <c r="C152" s="144" t="s">
        <v>309</v>
      </c>
      <c r="D152" s="144" t="s">
        <v>184</v>
      </c>
      <c r="E152" s="144" t="s">
        <v>185</v>
      </c>
    </row>
    <row r="153" spans="1:5" s="89" customFormat="1" ht="19.5" thickBot="1">
      <c r="A153" s="167"/>
      <c r="B153" s="143">
        <v>1</v>
      </c>
      <c r="C153" s="143">
        <v>2</v>
      </c>
      <c r="D153" s="143">
        <v>3</v>
      </c>
      <c r="E153" s="143">
        <v>4</v>
      </c>
    </row>
    <row r="154" spans="1:5" s="89" customFormat="1" ht="87" customHeight="1" thickBot="1">
      <c r="A154" s="167"/>
      <c r="B154" s="103" t="s">
        <v>328</v>
      </c>
      <c r="C154" s="143"/>
      <c r="D154" s="111"/>
      <c r="E154" s="111">
        <v>50000</v>
      </c>
    </row>
    <row r="155" spans="1:5" s="89" customFormat="1" ht="50.25" customHeight="1" thickBot="1">
      <c r="A155" s="168"/>
      <c r="B155" s="110" t="s">
        <v>329</v>
      </c>
      <c r="C155" s="66"/>
      <c r="D155" s="112"/>
      <c r="E155" s="112">
        <f>E154</f>
        <v>50000</v>
      </c>
    </row>
    <row r="156" spans="1:5" s="89" customFormat="1" ht="85.5" customHeight="1" thickBot="1">
      <c r="A156" s="167"/>
      <c r="B156" s="103" t="s">
        <v>330</v>
      </c>
      <c r="C156" s="143"/>
      <c r="D156" s="111"/>
      <c r="E156" s="111">
        <v>43312</v>
      </c>
    </row>
    <row r="157" spans="1:5" s="89" customFormat="1" ht="50.25" customHeight="1" thickBot="1">
      <c r="A157" s="168"/>
      <c r="B157" s="110" t="s">
        <v>294</v>
      </c>
      <c r="C157" s="66"/>
      <c r="D157" s="112"/>
      <c r="E157" s="112">
        <f>E156</f>
        <v>43312</v>
      </c>
    </row>
    <row r="158" spans="1:6" s="89" customFormat="1" ht="51" customHeight="1">
      <c r="A158" s="304" t="s">
        <v>333</v>
      </c>
      <c r="B158" s="304"/>
      <c r="C158" s="304"/>
      <c r="D158" s="304"/>
      <c r="E158" s="304"/>
      <c r="F158" s="304"/>
    </row>
    <row r="159" s="89" customFormat="1" ht="15.75" thickBot="1"/>
    <row r="160" spans="1:5" s="89" customFormat="1" ht="57" thickBot="1">
      <c r="A160" s="91" t="s">
        <v>0</v>
      </c>
      <c r="B160" s="144" t="s">
        <v>140</v>
      </c>
      <c r="C160" s="144" t="s">
        <v>309</v>
      </c>
      <c r="D160" s="144" t="s">
        <v>184</v>
      </c>
      <c r="E160" s="144" t="s">
        <v>185</v>
      </c>
    </row>
    <row r="161" spans="1:5" s="89" customFormat="1" ht="19.5" thickBot="1">
      <c r="A161" s="167"/>
      <c r="B161" s="143">
        <v>1</v>
      </c>
      <c r="C161" s="143">
        <v>2</v>
      </c>
      <c r="D161" s="143">
        <v>3</v>
      </c>
      <c r="E161" s="143">
        <v>4</v>
      </c>
    </row>
    <row r="162" spans="1:5" s="89" customFormat="1" ht="49.5" customHeight="1" thickBot="1">
      <c r="A162" s="167"/>
      <c r="B162" s="103" t="s">
        <v>285</v>
      </c>
      <c r="C162" s="143"/>
      <c r="D162" s="111"/>
      <c r="E162" s="111">
        <f>SUM(E163:E164)</f>
        <v>6522399</v>
      </c>
    </row>
    <row r="163" spans="1:5" s="89" customFormat="1" ht="85.5" customHeight="1" thickBot="1">
      <c r="A163" s="167"/>
      <c r="B163" s="103" t="s">
        <v>312</v>
      </c>
      <c r="C163" s="143">
        <v>30450</v>
      </c>
      <c r="D163" s="111">
        <v>203.19</v>
      </c>
      <c r="E163" s="111">
        <f>C163*D163</f>
        <v>6187135.5</v>
      </c>
    </row>
    <row r="164" spans="1:5" s="89" customFormat="1" ht="85.5" customHeight="1" thickBot="1">
      <c r="A164" s="167"/>
      <c r="B164" s="103" t="s">
        <v>313</v>
      </c>
      <c r="C164" s="143">
        <v>3300</v>
      </c>
      <c r="D164" s="111">
        <f>D163/2</f>
        <v>101.595</v>
      </c>
      <c r="E164" s="111">
        <f>C164*D164</f>
        <v>335263.5</v>
      </c>
    </row>
    <row r="165" spans="1:5" s="89" customFormat="1" ht="50.25" customHeight="1" thickBot="1">
      <c r="A165" s="168"/>
      <c r="B165" s="110" t="s">
        <v>294</v>
      </c>
      <c r="C165" s="66"/>
      <c r="D165" s="112"/>
      <c r="E165" s="112">
        <f>E162</f>
        <v>6522399</v>
      </c>
    </row>
    <row r="167" ht="15.75">
      <c r="B167" s="124" t="s">
        <v>376</v>
      </c>
    </row>
    <row r="168" ht="15.75">
      <c r="B168" s="124" t="s">
        <v>381</v>
      </c>
    </row>
  </sheetData>
  <sheetProtection/>
  <mergeCells count="36">
    <mergeCell ref="A11:J11"/>
    <mergeCell ref="A13:J13"/>
    <mergeCell ref="A15:J15"/>
    <mergeCell ref="A16:J16"/>
    <mergeCell ref="A18:J18"/>
    <mergeCell ref="A20:A22"/>
    <mergeCell ref="B20:B22"/>
    <mergeCell ref="C20:C22"/>
    <mergeCell ref="D20:G20"/>
    <mergeCell ref="H20:H22"/>
    <mergeCell ref="I20:I22"/>
    <mergeCell ref="J20:J22"/>
    <mergeCell ref="D21:D22"/>
    <mergeCell ref="E21:G21"/>
    <mergeCell ref="A28:B28"/>
    <mergeCell ref="A31:F31"/>
    <mergeCell ref="A38:F38"/>
    <mergeCell ref="A45:E45"/>
    <mergeCell ref="A50:A51"/>
    <mergeCell ref="C50:C51"/>
    <mergeCell ref="D50:D51"/>
    <mergeCell ref="A57:F57"/>
    <mergeCell ref="A59:F59"/>
    <mergeCell ref="A60:F60"/>
    <mergeCell ref="A68:G68"/>
    <mergeCell ref="A71:G71"/>
    <mergeCell ref="A72:G72"/>
    <mergeCell ref="A80:I80"/>
    <mergeCell ref="A150:F150"/>
    <mergeCell ref="A158:F158"/>
    <mergeCell ref="A85:F85"/>
    <mergeCell ref="A92:F92"/>
    <mergeCell ref="A99:F99"/>
    <mergeCell ref="A111:E111"/>
    <mergeCell ref="A118:E118"/>
    <mergeCell ref="A137:E13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2" manualBreakCount="2">
    <brk id="149" max="9" man="1"/>
    <brk id="157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3:PAR1206"/>
  <sheetViews>
    <sheetView view="pageBreakPreview" zoomScale="60" zoomScaleNormal="60" zoomScalePageLayoutView="0" workbookViewId="0" topLeftCell="A28">
      <selection activeCell="E28" sqref="E28:E29"/>
    </sheetView>
  </sheetViews>
  <sheetFormatPr defaultColWidth="28.8515625" defaultRowHeight="15"/>
  <cols>
    <col min="1" max="1" width="43.8515625" style="172" customWidth="1"/>
    <col min="2" max="2" width="18.140625" style="172" customWidth="1"/>
    <col min="3" max="3" width="32.421875" style="172" customWidth="1"/>
    <col min="4" max="4" width="39.140625" style="166" customWidth="1"/>
    <col min="5" max="5" width="26.421875" style="166" customWidth="1"/>
    <col min="6" max="6" width="24.28125" style="166" customWidth="1"/>
    <col min="7" max="7" width="22.57421875" style="166" customWidth="1"/>
    <col min="8" max="8" width="20.28125" style="166" customWidth="1"/>
    <col min="9" max="9" width="21.140625" style="166" customWidth="1"/>
    <col min="10" max="10" width="19.421875" style="182" customWidth="1"/>
    <col min="11" max="11" width="19.421875" style="183" customWidth="1"/>
    <col min="12" max="12" width="23.8515625" style="183" customWidth="1"/>
    <col min="13" max="13" width="36.421875" style="172" customWidth="1"/>
    <col min="14" max="16384" width="28.8515625" style="172" customWidth="1"/>
  </cols>
  <sheetData>
    <row r="3" spans="1:9" ht="19.5" customHeight="1">
      <c r="A3" s="262" t="s">
        <v>92</v>
      </c>
      <c r="B3" s="262"/>
      <c r="C3" s="262"/>
      <c r="D3" s="262"/>
      <c r="E3" s="262"/>
      <c r="F3" s="262"/>
      <c r="G3" s="262"/>
      <c r="H3" s="262"/>
      <c r="I3" s="262"/>
    </row>
    <row r="4" spans="1:9" ht="18.75">
      <c r="A4" s="253" t="s">
        <v>368</v>
      </c>
      <c r="B4" s="253"/>
      <c r="C4" s="253"/>
      <c r="D4" s="253"/>
      <c r="E4" s="253"/>
      <c r="F4" s="253"/>
      <c r="G4" s="253"/>
      <c r="H4" s="253"/>
      <c r="I4" s="253"/>
    </row>
    <row r="5" ht="15.75" thickBot="1">
      <c r="I5" s="166" t="s">
        <v>93</v>
      </c>
    </row>
    <row r="6" spans="1:9" ht="19.5" customHeight="1" thickBot="1">
      <c r="A6" s="297" t="s">
        <v>40</v>
      </c>
      <c r="B6" s="263" t="s">
        <v>41</v>
      </c>
      <c r="C6" s="263" t="s">
        <v>42</v>
      </c>
      <c r="D6" s="295" t="s">
        <v>43</v>
      </c>
      <c r="E6" s="301"/>
      <c r="F6" s="301"/>
      <c r="G6" s="301"/>
      <c r="H6" s="301"/>
      <c r="I6" s="296"/>
    </row>
    <row r="7" spans="1:9" ht="19.5" thickBot="1">
      <c r="A7" s="298"/>
      <c r="B7" s="300"/>
      <c r="C7" s="300"/>
      <c r="D7" s="282" t="s">
        <v>44</v>
      </c>
      <c r="E7" s="295" t="s">
        <v>22</v>
      </c>
      <c r="F7" s="301"/>
      <c r="G7" s="301"/>
      <c r="H7" s="301"/>
      <c r="I7" s="296"/>
    </row>
    <row r="8" spans="1:9" ht="100.5" customHeight="1" thickBot="1">
      <c r="A8" s="298"/>
      <c r="B8" s="300"/>
      <c r="C8" s="300"/>
      <c r="D8" s="286"/>
      <c r="E8" s="282" t="s">
        <v>45</v>
      </c>
      <c r="F8" s="302" t="s">
        <v>46</v>
      </c>
      <c r="G8" s="282" t="s">
        <v>47</v>
      </c>
      <c r="H8" s="295" t="s">
        <v>48</v>
      </c>
      <c r="I8" s="296"/>
    </row>
    <row r="9" spans="1:9" ht="45" customHeight="1" thickBot="1">
      <c r="A9" s="299"/>
      <c r="B9" s="264"/>
      <c r="C9" s="264"/>
      <c r="D9" s="283"/>
      <c r="E9" s="283"/>
      <c r="F9" s="303"/>
      <c r="G9" s="283"/>
      <c r="H9" s="143" t="s">
        <v>44</v>
      </c>
      <c r="I9" s="143" t="s">
        <v>49</v>
      </c>
    </row>
    <row r="10" spans="1:9" ht="19.5" thickBot="1">
      <c r="A10" s="162">
        <v>1</v>
      </c>
      <c r="B10" s="171">
        <v>2</v>
      </c>
      <c r="C10" s="171">
        <v>3</v>
      </c>
      <c r="D10" s="143">
        <v>4</v>
      </c>
      <c r="E10" s="143">
        <v>5</v>
      </c>
      <c r="F10" s="143">
        <v>6</v>
      </c>
      <c r="G10" s="143">
        <v>7</v>
      </c>
      <c r="H10" s="143">
        <v>8</v>
      </c>
      <c r="I10" s="143">
        <v>9</v>
      </c>
    </row>
    <row r="11" spans="1:13" s="120" customFormat="1" ht="48.75" customHeight="1" thickBot="1">
      <c r="A11" s="38" t="s">
        <v>50</v>
      </c>
      <c r="B11" s="39" t="s">
        <v>197</v>
      </c>
      <c r="C11" s="40" t="s">
        <v>51</v>
      </c>
      <c r="D11" s="177">
        <f>E11+F11+G11+H11</f>
        <v>0</v>
      </c>
      <c r="E11" s="177">
        <v>0</v>
      </c>
      <c r="F11" s="177">
        <v>0</v>
      </c>
      <c r="G11" s="177">
        <v>0</v>
      </c>
      <c r="H11" s="177">
        <v>0</v>
      </c>
      <c r="I11" s="177">
        <v>0</v>
      </c>
      <c r="J11" s="182"/>
      <c r="K11" s="183"/>
      <c r="L11" s="183"/>
      <c r="M11" s="120" t="s">
        <v>203</v>
      </c>
    </row>
    <row r="12" spans="1:13" s="120" customFormat="1" ht="47.25" customHeight="1" thickBot="1">
      <c r="A12" s="38" t="s">
        <v>52</v>
      </c>
      <c r="B12" s="39" t="s">
        <v>198</v>
      </c>
      <c r="C12" s="40" t="s">
        <v>51</v>
      </c>
      <c r="D12" s="177">
        <f>D13+D17+D20+D25+D26</f>
        <v>58935293.00450401</v>
      </c>
      <c r="E12" s="177">
        <f>E17</f>
        <v>50809614.00450401</v>
      </c>
      <c r="F12" s="177">
        <f>F25</f>
        <v>1370000</v>
      </c>
      <c r="G12" s="177">
        <f>G25</f>
        <v>0</v>
      </c>
      <c r="H12" s="177">
        <f>H13+H17+H20+H24+H26</f>
        <v>6755679</v>
      </c>
      <c r="I12" s="177">
        <v>0</v>
      </c>
      <c r="J12" s="184">
        <f>48395694-E12</f>
        <v>-2413920.00450401</v>
      </c>
      <c r="K12" s="185">
        <f>1793500-F12</f>
        <v>423500</v>
      </c>
      <c r="L12" s="186">
        <f>' ПДД 2018'!E165+' ПДД 2018'!E157+' ПДД 2018'!E155+' ПДД 2018'!D148-H12</f>
        <v>0</v>
      </c>
      <c r="M12" s="121"/>
    </row>
    <row r="13" spans="1:13" s="32" customFormat="1" ht="18.75" customHeight="1">
      <c r="A13" s="268" t="s">
        <v>204</v>
      </c>
      <c r="B13" s="291" t="s">
        <v>199</v>
      </c>
      <c r="C13" s="293">
        <v>120</v>
      </c>
      <c r="D13" s="287">
        <f>D15</f>
        <v>0</v>
      </c>
      <c r="E13" s="287" t="s">
        <v>51</v>
      </c>
      <c r="F13" s="287" t="s">
        <v>51</v>
      </c>
      <c r="G13" s="287" t="s">
        <v>51</v>
      </c>
      <c r="H13" s="287">
        <f>H15</f>
        <v>0</v>
      </c>
      <c r="I13" s="287" t="s">
        <v>51</v>
      </c>
      <c r="J13" s="187"/>
      <c r="K13" s="188"/>
      <c r="L13" s="188"/>
      <c r="M13" s="270" t="s">
        <v>205</v>
      </c>
    </row>
    <row r="14" spans="1:13" s="32" customFormat="1" ht="30.75" customHeight="1" thickBot="1">
      <c r="A14" s="269"/>
      <c r="B14" s="292"/>
      <c r="C14" s="294"/>
      <c r="D14" s="288"/>
      <c r="E14" s="288"/>
      <c r="F14" s="288"/>
      <c r="G14" s="288"/>
      <c r="H14" s="288"/>
      <c r="I14" s="288"/>
      <c r="J14" s="187"/>
      <c r="K14" s="188"/>
      <c r="L14" s="188"/>
      <c r="M14" s="270"/>
    </row>
    <row r="15" spans="1:13" ht="18.75" customHeight="1">
      <c r="A15" s="12" t="s">
        <v>4</v>
      </c>
      <c r="B15" s="289" t="s">
        <v>200</v>
      </c>
      <c r="C15" s="263">
        <v>120</v>
      </c>
      <c r="D15" s="278">
        <f>H15</f>
        <v>0</v>
      </c>
      <c r="E15" s="278" t="s">
        <v>51</v>
      </c>
      <c r="F15" s="278" t="s">
        <v>51</v>
      </c>
      <c r="G15" s="278" t="s">
        <v>51</v>
      </c>
      <c r="H15" s="278">
        <v>0</v>
      </c>
      <c r="I15" s="278" t="s">
        <v>51</v>
      </c>
      <c r="M15" s="270"/>
    </row>
    <row r="16" spans="1:13" ht="145.5" customHeight="1" thickBot="1">
      <c r="A16" s="13" t="s">
        <v>53</v>
      </c>
      <c r="B16" s="290"/>
      <c r="C16" s="264"/>
      <c r="D16" s="279"/>
      <c r="E16" s="279"/>
      <c r="F16" s="279"/>
      <c r="G16" s="279"/>
      <c r="H16" s="279"/>
      <c r="I16" s="279"/>
      <c r="M16" s="270"/>
    </row>
    <row r="17" spans="1:14" s="36" customFormat="1" ht="89.25" customHeight="1" thickBot="1">
      <c r="A17" s="33" t="s">
        <v>54</v>
      </c>
      <c r="B17" s="34" t="s">
        <v>201</v>
      </c>
      <c r="C17" s="35">
        <v>130</v>
      </c>
      <c r="D17" s="67">
        <f>D18</f>
        <v>50809614.00450401</v>
      </c>
      <c r="E17" s="67">
        <f>E18</f>
        <v>50809614.00450401</v>
      </c>
      <c r="F17" s="67" t="s">
        <v>51</v>
      </c>
      <c r="G17" s="67" t="s">
        <v>51</v>
      </c>
      <c r="H17" s="67">
        <f>H18</f>
        <v>0</v>
      </c>
      <c r="I17" s="67">
        <f>I18</f>
        <v>0</v>
      </c>
      <c r="J17" s="187"/>
      <c r="K17" s="188"/>
      <c r="L17" s="188"/>
      <c r="M17" s="36" t="s">
        <v>206</v>
      </c>
      <c r="N17" s="37">
        <f>E17-E27</f>
        <v>0</v>
      </c>
    </row>
    <row r="18" spans="1:9" ht="18.75">
      <c r="A18" s="12" t="s">
        <v>55</v>
      </c>
      <c r="B18" s="289" t="s">
        <v>202</v>
      </c>
      <c r="C18" s="263">
        <v>130</v>
      </c>
      <c r="D18" s="278">
        <f>E18+H18</f>
        <v>50809614.00450401</v>
      </c>
      <c r="E18" s="278">
        <f>E27</f>
        <v>50809614.00450401</v>
      </c>
      <c r="F18" s="278" t="s">
        <v>51</v>
      </c>
      <c r="G18" s="278" t="s">
        <v>51</v>
      </c>
      <c r="H18" s="278">
        <v>0</v>
      </c>
      <c r="I18" s="278">
        <v>0</v>
      </c>
    </row>
    <row r="19" spans="1:9" ht="75.75" thickBot="1">
      <c r="A19" s="13" t="s">
        <v>56</v>
      </c>
      <c r="B19" s="290"/>
      <c r="C19" s="264"/>
      <c r="D19" s="279"/>
      <c r="E19" s="279"/>
      <c r="F19" s="279"/>
      <c r="G19" s="279"/>
      <c r="H19" s="279"/>
      <c r="I19" s="279"/>
    </row>
    <row r="20" spans="1:12" s="36" customFormat="1" ht="57" thickBot="1">
      <c r="A20" s="33" t="s">
        <v>57</v>
      </c>
      <c r="B20" s="34" t="s">
        <v>207</v>
      </c>
      <c r="C20" s="35">
        <v>130</v>
      </c>
      <c r="D20" s="67">
        <f>D21+D23+D24</f>
        <v>6755679</v>
      </c>
      <c r="E20" s="67" t="s">
        <v>51</v>
      </c>
      <c r="F20" s="67" t="s">
        <v>51</v>
      </c>
      <c r="G20" s="67" t="s">
        <v>51</v>
      </c>
      <c r="H20" s="67">
        <f>H23+H21</f>
        <v>6755679</v>
      </c>
      <c r="I20" s="67">
        <v>0</v>
      </c>
      <c r="J20" s="187"/>
      <c r="K20" s="188"/>
      <c r="L20" s="188"/>
    </row>
    <row r="21" spans="1:9" ht="18.75">
      <c r="A21" s="12" t="s">
        <v>22</v>
      </c>
      <c r="B21" s="289" t="s">
        <v>208</v>
      </c>
      <c r="C21" s="263">
        <v>130</v>
      </c>
      <c r="D21" s="278">
        <f>H21</f>
        <v>233280</v>
      </c>
      <c r="E21" s="278" t="s">
        <v>51</v>
      </c>
      <c r="F21" s="278" t="s">
        <v>51</v>
      </c>
      <c r="G21" s="278" t="s">
        <v>51</v>
      </c>
      <c r="H21" s="278">
        <f>' ПДД 2018'!D148+' ПДД 2018'!E155+' ПДД 2018'!E157</f>
        <v>233280</v>
      </c>
      <c r="I21" s="278">
        <v>0</v>
      </c>
    </row>
    <row r="22" spans="1:9" ht="38.25" thickBot="1">
      <c r="A22" s="13" t="s">
        <v>58</v>
      </c>
      <c r="B22" s="290"/>
      <c r="C22" s="264"/>
      <c r="D22" s="279"/>
      <c r="E22" s="279"/>
      <c r="F22" s="279"/>
      <c r="G22" s="279"/>
      <c r="H22" s="279"/>
      <c r="I22" s="279"/>
    </row>
    <row r="23" spans="1:9" ht="28.5" customHeight="1" thickBot="1">
      <c r="A23" s="13" t="s">
        <v>59</v>
      </c>
      <c r="B23" s="30" t="s">
        <v>209</v>
      </c>
      <c r="C23" s="171">
        <v>130</v>
      </c>
      <c r="D23" s="51">
        <f>H23</f>
        <v>6522399</v>
      </c>
      <c r="E23" s="51" t="s">
        <v>51</v>
      </c>
      <c r="F23" s="51" t="s">
        <v>51</v>
      </c>
      <c r="G23" s="51" t="s">
        <v>51</v>
      </c>
      <c r="H23" s="51">
        <f>' ПДД 2018'!E165</f>
        <v>6522399</v>
      </c>
      <c r="I23" s="51">
        <v>0</v>
      </c>
    </row>
    <row r="24" spans="1:9" ht="57" thickBot="1">
      <c r="A24" s="13" t="s">
        <v>60</v>
      </c>
      <c r="B24" s="30" t="s">
        <v>210</v>
      </c>
      <c r="C24" s="171">
        <v>140</v>
      </c>
      <c r="D24" s="51">
        <f>H24</f>
        <v>0</v>
      </c>
      <c r="E24" s="51" t="s">
        <v>51</v>
      </c>
      <c r="F24" s="51" t="s">
        <v>51</v>
      </c>
      <c r="G24" s="51" t="s">
        <v>51</v>
      </c>
      <c r="H24" s="51">
        <v>0</v>
      </c>
      <c r="I24" s="51" t="s">
        <v>51</v>
      </c>
    </row>
    <row r="25" spans="1:12" s="36" customFormat="1" ht="57" thickBot="1">
      <c r="A25" s="33" t="s">
        <v>61</v>
      </c>
      <c r="B25" s="34" t="s">
        <v>211</v>
      </c>
      <c r="C25" s="35">
        <v>180</v>
      </c>
      <c r="D25" s="67">
        <f>F25+G25</f>
        <v>1370000</v>
      </c>
      <c r="E25" s="67" t="s">
        <v>51</v>
      </c>
      <c r="F25" s="67">
        <f>1370000</f>
        <v>1370000</v>
      </c>
      <c r="G25" s="67">
        <v>0</v>
      </c>
      <c r="H25" s="67" t="s">
        <v>51</v>
      </c>
      <c r="I25" s="67" t="s">
        <v>51</v>
      </c>
      <c r="J25" s="187"/>
      <c r="K25" s="188"/>
      <c r="L25" s="188"/>
    </row>
    <row r="26" spans="1:12" s="36" customFormat="1" ht="43.5" customHeight="1">
      <c r="A26" s="125" t="s">
        <v>62</v>
      </c>
      <c r="B26" s="126" t="s">
        <v>213</v>
      </c>
      <c r="C26" s="127">
        <v>180</v>
      </c>
      <c r="D26" s="178">
        <f>H26</f>
        <v>0</v>
      </c>
      <c r="E26" s="178" t="s">
        <v>51</v>
      </c>
      <c r="F26" s="178" t="s">
        <v>51</v>
      </c>
      <c r="G26" s="178" t="s">
        <v>51</v>
      </c>
      <c r="H26" s="178">
        <v>0</v>
      </c>
      <c r="I26" s="178">
        <v>0</v>
      </c>
      <c r="J26" s="187"/>
      <c r="K26" s="188"/>
      <c r="L26" s="188"/>
    </row>
    <row r="27" spans="1:13" s="122" customFormat="1" ht="53.25" customHeight="1" thickBot="1">
      <c r="A27" s="128" t="s">
        <v>63</v>
      </c>
      <c r="B27" s="129" t="s">
        <v>214</v>
      </c>
      <c r="C27" s="130" t="s">
        <v>51</v>
      </c>
      <c r="D27" s="179">
        <f>D28+D34+D37+D43+D47</f>
        <v>58935293.00450401</v>
      </c>
      <c r="E27" s="179">
        <f>E28+E34+E37+E43+E47</f>
        <v>50809614.00450401</v>
      </c>
      <c r="F27" s="179">
        <f>F28+F34+F37+F43+F47</f>
        <v>1370000</v>
      </c>
      <c r="G27" s="179">
        <f>G28+G34+G37+G43+G47</f>
        <v>0</v>
      </c>
      <c r="H27" s="179">
        <f>H28+H34+H37+H43+H47</f>
        <v>6755679</v>
      </c>
      <c r="I27" s="179"/>
      <c r="J27" s="189">
        <f>48395694-E27</f>
        <v>-2413920.00450401</v>
      </c>
      <c r="K27" s="190">
        <f>1793500-F27</f>
        <v>423500</v>
      </c>
      <c r="L27" s="191">
        <f>' ПДД 2018'!E165+' ПДД 2018'!E157+' ПДД 2018'!E155+' ПДД 2018'!D148-H27</f>
        <v>0</v>
      </c>
      <c r="M27" s="122" t="s">
        <v>212</v>
      </c>
    </row>
    <row r="28" spans="1:12" s="166" customFormat="1" ht="18.75">
      <c r="A28" s="59" t="s">
        <v>22</v>
      </c>
      <c r="B28" s="291" t="s">
        <v>215</v>
      </c>
      <c r="C28" s="293">
        <v>100</v>
      </c>
      <c r="D28" s="287">
        <f>D30+D32+D33</f>
        <v>45086886.97451401</v>
      </c>
      <c r="E28" s="287">
        <f>E30+E32+E33</f>
        <v>43716886.97451401</v>
      </c>
      <c r="F28" s="287">
        <f>F30+F32+F33</f>
        <v>1370000</v>
      </c>
      <c r="G28" s="287">
        <f>G30+G32+G33</f>
        <v>0</v>
      </c>
      <c r="H28" s="287">
        <f>H30+H32+H33</f>
        <v>0</v>
      </c>
      <c r="I28" s="287"/>
      <c r="J28" s="182"/>
      <c r="K28" s="183"/>
      <c r="L28" s="183"/>
    </row>
    <row r="29" spans="1:13" s="166" customFormat="1" ht="38.25" thickBot="1">
      <c r="A29" s="165" t="s">
        <v>64</v>
      </c>
      <c r="B29" s="292"/>
      <c r="C29" s="294"/>
      <c r="D29" s="288"/>
      <c r="E29" s="288"/>
      <c r="F29" s="288"/>
      <c r="G29" s="288"/>
      <c r="H29" s="288"/>
      <c r="I29" s="288"/>
      <c r="J29" s="182"/>
      <c r="K29" s="183"/>
      <c r="L29" s="183"/>
      <c r="M29" s="60"/>
    </row>
    <row r="30" spans="1:12" s="166" customFormat="1" ht="18.75">
      <c r="A30" s="61" t="s">
        <v>4</v>
      </c>
      <c r="B30" s="280" t="s">
        <v>216</v>
      </c>
      <c r="C30" s="282">
        <v>111</v>
      </c>
      <c r="D30" s="278">
        <f>E30+F30+G30+H30</f>
        <v>33575368.13451401</v>
      </c>
      <c r="E30" s="278">
        <f>' Мун. 2018'!J28</f>
        <v>33575368.13451401</v>
      </c>
      <c r="F30" s="278">
        <v>0</v>
      </c>
      <c r="G30" s="278">
        <v>0</v>
      </c>
      <c r="H30" s="278">
        <v>0</v>
      </c>
      <c r="I30" s="278"/>
      <c r="J30" s="182"/>
      <c r="K30" s="183"/>
      <c r="L30" s="183"/>
    </row>
    <row r="31" spans="1:12" s="166" customFormat="1" ht="19.5" thickBot="1">
      <c r="A31" s="62" t="s">
        <v>65</v>
      </c>
      <c r="B31" s="281"/>
      <c r="C31" s="283"/>
      <c r="D31" s="279"/>
      <c r="E31" s="279"/>
      <c r="F31" s="279"/>
      <c r="G31" s="279"/>
      <c r="H31" s="279"/>
      <c r="I31" s="279"/>
      <c r="J31" s="182"/>
      <c r="K31" s="183"/>
      <c r="L31" s="183"/>
    </row>
    <row r="32" spans="1:12" s="166" customFormat="1" ht="68.25" customHeight="1" thickBot="1">
      <c r="A32" s="49" t="s">
        <v>66</v>
      </c>
      <c r="B32" s="63" t="s">
        <v>217</v>
      </c>
      <c r="C32" s="143">
        <v>112</v>
      </c>
      <c r="D32" s="51">
        <f>E32+F32+G32+H32</f>
        <v>1372160</v>
      </c>
      <c r="E32" s="51">
        <f>' Мун. 2018'!F43</f>
        <v>2160</v>
      </c>
      <c r="F32" s="51">
        <v>1370000</v>
      </c>
      <c r="G32" s="51">
        <v>0</v>
      </c>
      <c r="H32" s="51">
        <v>0</v>
      </c>
      <c r="I32" s="51"/>
      <c r="J32" s="182"/>
      <c r="K32" s="183"/>
      <c r="L32" s="183"/>
    </row>
    <row r="33" spans="1:12" s="166" customFormat="1" ht="117" customHeight="1" thickBot="1">
      <c r="A33" s="49" t="s">
        <v>67</v>
      </c>
      <c r="B33" s="63" t="s">
        <v>218</v>
      </c>
      <c r="C33" s="143">
        <v>119</v>
      </c>
      <c r="D33" s="51">
        <f>E33+F33+G33+H33</f>
        <v>10139358.84</v>
      </c>
      <c r="E33" s="51">
        <f>' Мун. 2018'!D55</f>
        <v>10139358.84</v>
      </c>
      <c r="F33" s="51">
        <v>0</v>
      </c>
      <c r="G33" s="51">
        <v>0</v>
      </c>
      <c r="H33" s="51">
        <v>0</v>
      </c>
      <c r="I33" s="51"/>
      <c r="J33" s="182"/>
      <c r="K33" s="183"/>
      <c r="L33" s="183"/>
    </row>
    <row r="34" spans="1:12" s="166" customFormat="1" ht="47.25" customHeight="1" thickBot="1">
      <c r="A34" s="64" t="s">
        <v>68</v>
      </c>
      <c r="B34" s="65" t="s">
        <v>219</v>
      </c>
      <c r="C34" s="66">
        <v>300</v>
      </c>
      <c r="D34" s="67">
        <f>D35</f>
        <v>0</v>
      </c>
      <c r="E34" s="67">
        <f>E35</f>
        <v>0</v>
      </c>
      <c r="F34" s="67">
        <f>F35</f>
        <v>0</v>
      </c>
      <c r="G34" s="67">
        <f>G35</f>
        <v>0</v>
      </c>
      <c r="H34" s="67">
        <f>H35</f>
        <v>0</v>
      </c>
      <c r="I34" s="67"/>
      <c r="J34" s="182"/>
      <c r="K34" s="183"/>
      <c r="L34" s="183"/>
    </row>
    <row r="35" spans="1:12" s="166" customFormat="1" ht="18.75">
      <c r="A35" s="68" t="s">
        <v>4</v>
      </c>
      <c r="B35" s="280" t="s">
        <v>220</v>
      </c>
      <c r="C35" s="282">
        <v>321</v>
      </c>
      <c r="D35" s="278">
        <f>E35+F35+G35+H35</f>
        <v>0</v>
      </c>
      <c r="E35" s="278">
        <v>0</v>
      </c>
      <c r="F35" s="278">
        <v>0</v>
      </c>
      <c r="G35" s="278">
        <v>0</v>
      </c>
      <c r="H35" s="278">
        <v>0</v>
      </c>
      <c r="I35" s="278"/>
      <c r="J35" s="182"/>
      <c r="K35" s="183"/>
      <c r="L35" s="183"/>
    </row>
    <row r="36" spans="1:12" s="166" customFormat="1" ht="75.75" thickBot="1">
      <c r="A36" s="49" t="s">
        <v>69</v>
      </c>
      <c r="B36" s="281"/>
      <c r="C36" s="283"/>
      <c r="D36" s="279"/>
      <c r="E36" s="279"/>
      <c r="F36" s="279"/>
      <c r="G36" s="279"/>
      <c r="H36" s="279"/>
      <c r="I36" s="279"/>
      <c r="J36" s="182"/>
      <c r="K36" s="183"/>
      <c r="L36" s="183"/>
    </row>
    <row r="37" spans="1:12" s="166" customFormat="1" ht="53.25" customHeight="1" thickBot="1">
      <c r="A37" s="64" t="s">
        <v>70</v>
      </c>
      <c r="B37" s="65" t="s">
        <v>221</v>
      </c>
      <c r="C37" s="66">
        <v>850</v>
      </c>
      <c r="D37" s="67">
        <f>D38+D40+D41+D42</f>
        <v>748521.99999</v>
      </c>
      <c r="E37" s="67">
        <f>E38+E40+E41+E42</f>
        <v>748521.99999</v>
      </c>
      <c r="F37" s="67">
        <f>F38+F40+F41+F42</f>
        <v>0</v>
      </c>
      <c r="G37" s="67">
        <f>G40</f>
        <v>0</v>
      </c>
      <c r="H37" s="67">
        <f>H38+H40+H41+H42</f>
        <v>0</v>
      </c>
      <c r="I37" s="67"/>
      <c r="J37" s="182"/>
      <c r="K37" s="183"/>
      <c r="L37" s="183"/>
    </row>
    <row r="38" spans="1:12" s="166" customFormat="1" ht="18.75">
      <c r="A38" s="68" t="s">
        <v>4</v>
      </c>
      <c r="B38" s="280" t="s">
        <v>222</v>
      </c>
      <c r="C38" s="282">
        <v>851</v>
      </c>
      <c r="D38" s="278">
        <f>E38+F38+H38</f>
        <v>328013.99994</v>
      </c>
      <c r="E38" s="278">
        <f>' Мун. 2018'!E76</f>
        <v>328013.99994</v>
      </c>
      <c r="F38" s="278">
        <v>0</v>
      </c>
      <c r="G38" s="278" t="s">
        <v>51</v>
      </c>
      <c r="H38" s="278">
        <v>0</v>
      </c>
      <c r="I38" s="278"/>
      <c r="J38" s="182"/>
      <c r="K38" s="183"/>
      <c r="L38" s="183"/>
    </row>
    <row r="39" spans="1:12" s="166" customFormat="1" ht="19.5" thickBot="1">
      <c r="A39" s="49" t="s">
        <v>91</v>
      </c>
      <c r="B39" s="281"/>
      <c r="C39" s="283"/>
      <c r="D39" s="279"/>
      <c r="E39" s="279"/>
      <c r="F39" s="279"/>
      <c r="G39" s="279"/>
      <c r="H39" s="279"/>
      <c r="I39" s="279"/>
      <c r="J39" s="182"/>
      <c r="K39" s="183"/>
      <c r="L39" s="183"/>
    </row>
    <row r="40" spans="1:12" s="166" customFormat="1" ht="34.5" customHeight="1" thickBot="1">
      <c r="A40" s="69" t="s">
        <v>71</v>
      </c>
      <c r="B40" s="63" t="s">
        <v>223</v>
      </c>
      <c r="C40" s="143">
        <v>851</v>
      </c>
      <c r="D40" s="51">
        <f>E40+F40+G40+H40</f>
        <v>420508.00005000003</v>
      </c>
      <c r="E40" s="51">
        <f>' Мун. 2018'!E77</f>
        <v>420508.00005000003</v>
      </c>
      <c r="F40" s="51">
        <v>0</v>
      </c>
      <c r="G40" s="51">
        <v>0</v>
      </c>
      <c r="H40" s="51">
        <v>0</v>
      </c>
      <c r="I40" s="51"/>
      <c r="J40" s="182"/>
      <c r="K40" s="183"/>
      <c r="L40" s="183"/>
    </row>
    <row r="41" spans="1:12" s="166" customFormat="1" ht="60" customHeight="1" thickBot="1">
      <c r="A41" s="49" t="s">
        <v>72</v>
      </c>
      <c r="B41" s="63" t="s">
        <v>224</v>
      </c>
      <c r="C41" s="143">
        <v>852</v>
      </c>
      <c r="D41" s="51">
        <f>E41+F41+H41</f>
        <v>0</v>
      </c>
      <c r="E41" s="51">
        <v>0</v>
      </c>
      <c r="F41" s="51">
        <v>0</v>
      </c>
      <c r="G41" s="51" t="s">
        <v>51</v>
      </c>
      <c r="H41" s="51">
        <v>0</v>
      </c>
      <c r="I41" s="51"/>
      <c r="J41" s="182"/>
      <c r="K41" s="183"/>
      <c r="L41" s="183"/>
    </row>
    <row r="42" spans="1:12" s="166" customFormat="1" ht="51.75" customHeight="1" thickBot="1">
      <c r="A42" s="49" t="s">
        <v>73</v>
      </c>
      <c r="B42" s="63" t="s">
        <v>225</v>
      </c>
      <c r="C42" s="143">
        <v>853</v>
      </c>
      <c r="D42" s="51">
        <f>E42+F42+H42</f>
        <v>0</v>
      </c>
      <c r="E42" s="51">
        <v>0</v>
      </c>
      <c r="F42" s="51">
        <v>0</v>
      </c>
      <c r="G42" s="51" t="s">
        <v>51</v>
      </c>
      <c r="H42" s="51">
        <v>0</v>
      </c>
      <c r="I42" s="51"/>
      <c r="J42" s="182"/>
      <c r="K42" s="183"/>
      <c r="L42" s="183"/>
    </row>
    <row r="43" spans="1:12" s="32" customFormat="1" ht="57" thickBot="1">
      <c r="A43" s="64" t="s">
        <v>74</v>
      </c>
      <c r="B43" s="65" t="s">
        <v>226</v>
      </c>
      <c r="C43" s="66">
        <v>400</v>
      </c>
      <c r="D43" s="67">
        <f>D44+D46</f>
        <v>0</v>
      </c>
      <c r="E43" s="67">
        <f>E44+E46</f>
        <v>0</v>
      </c>
      <c r="F43" s="67">
        <f>F44+F46</f>
        <v>0</v>
      </c>
      <c r="G43" s="67">
        <f>G44+G46</f>
        <v>0</v>
      </c>
      <c r="H43" s="67">
        <f>H44+H46</f>
        <v>0</v>
      </c>
      <c r="I43" s="67"/>
      <c r="J43" s="187"/>
      <c r="K43" s="188"/>
      <c r="L43" s="188"/>
    </row>
    <row r="44" spans="1:12" s="166" customFormat="1" ht="18.75">
      <c r="A44" s="61" t="s">
        <v>4</v>
      </c>
      <c r="B44" s="280" t="s">
        <v>227</v>
      </c>
      <c r="C44" s="282">
        <v>416</v>
      </c>
      <c r="D44" s="278">
        <f>E44+F44+G44+H44</f>
        <v>0</v>
      </c>
      <c r="E44" s="278">
        <v>0</v>
      </c>
      <c r="F44" s="278">
        <v>0</v>
      </c>
      <c r="G44" s="278">
        <v>0</v>
      </c>
      <c r="H44" s="278">
        <v>0</v>
      </c>
      <c r="I44" s="278"/>
      <c r="J44" s="182"/>
      <c r="K44" s="183"/>
      <c r="L44" s="183"/>
    </row>
    <row r="45" spans="1:12" s="166" customFormat="1" ht="93.75">
      <c r="A45" s="131" t="s">
        <v>75</v>
      </c>
      <c r="B45" s="285"/>
      <c r="C45" s="286"/>
      <c r="D45" s="284"/>
      <c r="E45" s="284"/>
      <c r="F45" s="284"/>
      <c r="G45" s="284"/>
      <c r="H45" s="284"/>
      <c r="I45" s="284"/>
      <c r="J45" s="182"/>
      <c r="K45" s="183"/>
      <c r="L45" s="183"/>
    </row>
    <row r="46" spans="1:12" s="166" customFormat="1" ht="93.75">
      <c r="A46" s="132" t="s">
        <v>76</v>
      </c>
      <c r="B46" s="133" t="s">
        <v>228</v>
      </c>
      <c r="C46" s="134">
        <v>417</v>
      </c>
      <c r="D46" s="135">
        <f>E46+F46+G46+H46</f>
        <v>0</v>
      </c>
      <c r="E46" s="135">
        <v>0</v>
      </c>
      <c r="F46" s="135">
        <v>0</v>
      </c>
      <c r="G46" s="135">
        <v>0</v>
      </c>
      <c r="H46" s="135">
        <v>0</v>
      </c>
      <c r="I46" s="135"/>
      <c r="J46" s="182"/>
      <c r="K46" s="183"/>
      <c r="L46" s="183"/>
    </row>
    <row r="47" spans="1:14" s="32" customFormat="1" ht="58.5" customHeight="1" thickBot="1">
      <c r="A47" s="136" t="s">
        <v>77</v>
      </c>
      <c r="B47" s="137" t="s">
        <v>229</v>
      </c>
      <c r="C47" s="138">
        <v>200</v>
      </c>
      <c r="D47" s="139">
        <f>D48+D50</f>
        <v>13099884.030000001</v>
      </c>
      <c r="E47" s="139">
        <f>E48+E50</f>
        <v>6344205.03</v>
      </c>
      <c r="F47" s="139">
        <f>F48+F50</f>
        <v>0</v>
      </c>
      <c r="G47" s="139">
        <f>G48+G50</f>
        <v>0</v>
      </c>
      <c r="H47" s="139">
        <f>H48+H50</f>
        <v>6755679</v>
      </c>
      <c r="I47" s="139"/>
      <c r="J47" s="187"/>
      <c r="K47" s="188"/>
      <c r="L47" s="188"/>
      <c r="M47" s="32" t="s">
        <v>244</v>
      </c>
      <c r="N47" s="70"/>
    </row>
    <row r="48" spans="1:14" s="166" customFormat="1" ht="18.75">
      <c r="A48" s="61" t="s">
        <v>4</v>
      </c>
      <c r="B48" s="280" t="s">
        <v>230</v>
      </c>
      <c r="C48" s="282">
        <v>243</v>
      </c>
      <c r="D48" s="278">
        <f>E48+F48+G48+H48</f>
        <v>0</v>
      </c>
      <c r="E48" s="278">
        <v>0</v>
      </c>
      <c r="F48" s="278">
        <v>0</v>
      </c>
      <c r="G48" s="278">
        <v>0</v>
      </c>
      <c r="H48" s="278">
        <v>0</v>
      </c>
      <c r="I48" s="278"/>
      <c r="J48" s="182"/>
      <c r="K48" s="183"/>
      <c r="L48" s="183"/>
      <c r="N48" s="60"/>
    </row>
    <row r="49" spans="1:12" s="166" customFormat="1" ht="57" thickBot="1">
      <c r="A49" s="62" t="s">
        <v>78</v>
      </c>
      <c r="B49" s="281"/>
      <c r="C49" s="283"/>
      <c r="D49" s="279"/>
      <c r="E49" s="279"/>
      <c r="F49" s="279"/>
      <c r="G49" s="279"/>
      <c r="H49" s="279"/>
      <c r="I49" s="279"/>
      <c r="J49" s="182"/>
      <c r="K49" s="183"/>
      <c r="L49" s="183"/>
    </row>
    <row r="50" spans="1:12" s="166" customFormat="1" ht="57" thickBot="1">
      <c r="A50" s="62" t="s">
        <v>79</v>
      </c>
      <c r="B50" s="63" t="s">
        <v>231</v>
      </c>
      <c r="C50" s="143">
        <v>244</v>
      </c>
      <c r="D50" s="51">
        <f>D51+D53+D54+D55+D56+D57+D58+D59</f>
        <v>13099884.030000001</v>
      </c>
      <c r="E50" s="51">
        <f>E51+E53+E54+E55+E56+E57+E58+E59</f>
        <v>6344205.03</v>
      </c>
      <c r="F50" s="51">
        <f>F51+F53+F54+F55+F56+F57+F58+F59</f>
        <v>0</v>
      </c>
      <c r="G50" s="51">
        <f>G53+G54+G56+G57+G58+G59</f>
        <v>0</v>
      </c>
      <c r="H50" s="51">
        <f>H51+H53+H54+H55+H56+H57+H58+H59</f>
        <v>6755679</v>
      </c>
      <c r="I50" s="51"/>
      <c r="J50" s="182"/>
      <c r="K50" s="183"/>
      <c r="L50" s="183"/>
    </row>
    <row r="51" spans="1:12" s="166" customFormat="1" ht="18.75">
      <c r="A51" s="71" t="s">
        <v>4</v>
      </c>
      <c r="B51" s="280" t="s">
        <v>232</v>
      </c>
      <c r="C51" s="282">
        <v>244</v>
      </c>
      <c r="D51" s="278">
        <f>E51+F51+H51</f>
        <v>24000</v>
      </c>
      <c r="E51" s="278">
        <f>' Мун. 2018'!F90</f>
        <v>24000</v>
      </c>
      <c r="F51" s="278">
        <v>0</v>
      </c>
      <c r="G51" s="278" t="s">
        <v>51</v>
      </c>
      <c r="H51" s="278">
        <v>0</v>
      </c>
      <c r="I51" s="278"/>
      <c r="J51" s="182"/>
      <c r="K51" s="183"/>
      <c r="L51" s="183"/>
    </row>
    <row r="52" spans="1:12" s="166" customFormat="1" ht="32.25" customHeight="1" thickBot="1">
      <c r="A52" s="72" t="s">
        <v>80</v>
      </c>
      <c r="B52" s="281"/>
      <c r="C52" s="283"/>
      <c r="D52" s="279"/>
      <c r="E52" s="279"/>
      <c r="F52" s="279"/>
      <c r="G52" s="279"/>
      <c r="H52" s="279"/>
      <c r="I52" s="279"/>
      <c r="J52" s="182"/>
      <c r="K52" s="183"/>
      <c r="L52" s="183"/>
    </row>
    <row r="53" spans="1:12" s="166" customFormat="1" ht="33" customHeight="1" thickBot="1">
      <c r="A53" s="72" t="s">
        <v>81</v>
      </c>
      <c r="B53" s="63" t="s">
        <v>233</v>
      </c>
      <c r="C53" s="143">
        <v>244</v>
      </c>
      <c r="D53" s="51">
        <f>E53+F53+G53+H53</f>
        <v>38000</v>
      </c>
      <c r="E53" s="51">
        <f>' Мун. 2018'!E97</f>
        <v>38000</v>
      </c>
      <c r="F53" s="51">
        <v>0</v>
      </c>
      <c r="G53" s="51">
        <v>0</v>
      </c>
      <c r="H53" s="51">
        <v>0</v>
      </c>
      <c r="I53" s="51"/>
      <c r="J53" s="182"/>
      <c r="K53" s="183"/>
      <c r="L53" s="183"/>
    </row>
    <row r="54" spans="1:12" s="166" customFormat="1" ht="32.25" customHeight="1" thickBot="1">
      <c r="A54" s="72" t="s">
        <v>82</v>
      </c>
      <c r="B54" s="63" t="s">
        <v>233</v>
      </c>
      <c r="C54" s="143">
        <v>244</v>
      </c>
      <c r="D54" s="51">
        <f>E54+F54+G54+H54</f>
        <v>3261095.96</v>
      </c>
      <c r="E54" s="51">
        <f>' Мун. 2018'!G109</f>
        <v>3261095.96</v>
      </c>
      <c r="F54" s="51">
        <v>0</v>
      </c>
      <c r="G54" s="51">
        <v>0</v>
      </c>
      <c r="H54" s="51">
        <v>0</v>
      </c>
      <c r="I54" s="51"/>
      <c r="J54" s="182"/>
      <c r="K54" s="183"/>
      <c r="L54" s="183"/>
    </row>
    <row r="55" spans="1:12" s="166" customFormat="1" ht="51.75" customHeight="1" thickBot="1">
      <c r="A55" s="72" t="s">
        <v>83</v>
      </c>
      <c r="B55" s="63" t="s">
        <v>234</v>
      </c>
      <c r="C55" s="143">
        <v>244</v>
      </c>
      <c r="D55" s="51">
        <f>E55+F55+H55</f>
        <v>0</v>
      </c>
      <c r="E55" s="51">
        <v>0</v>
      </c>
      <c r="F55" s="51">
        <v>0</v>
      </c>
      <c r="G55" s="51" t="s">
        <v>51</v>
      </c>
      <c r="H55" s="51">
        <v>0</v>
      </c>
      <c r="I55" s="51"/>
      <c r="J55" s="182"/>
      <c r="K55" s="183"/>
      <c r="L55" s="183"/>
    </row>
    <row r="56" spans="1:12" s="166" customFormat="1" ht="48" customHeight="1" thickBot="1">
      <c r="A56" s="72" t="s">
        <v>84</v>
      </c>
      <c r="B56" s="63" t="s">
        <v>235</v>
      </c>
      <c r="C56" s="143">
        <v>244</v>
      </c>
      <c r="D56" s="51">
        <f aca="true" t="shared" si="0" ref="D56:D61">E56+F56+G56+H56</f>
        <v>1297822.24</v>
      </c>
      <c r="E56" s="51">
        <f>' Мун. 2018'!E137</f>
        <v>1297822.24</v>
      </c>
      <c r="F56" s="51">
        <v>0</v>
      </c>
      <c r="G56" s="51">
        <v>0</v>
      </c>
      <c r="H56" s="51">
        <v>0</v>
      </c>
      <c r="I56" s="51"/>
      <c r="J56" s="182"/>
      <c r="K56" s="183"/>
      <c r="L56" s="183"/>
    </row>
    <row r="57" spans="1:12" s="166" customFormat="1" ht="34.5" customHeight="1" thickBot="1">
      <c r="A57" s="72" t="s">
        <v>85</v>
      </c>
      <c r="B57" s="63" t="s">
        <v>236</v>
      </c>
      <c r="C57" s="143">
        <v>244</v>
      </c>
      <c r="D57" s="51">
        <f t="shared" si="0"/>
        <v>782968</v>
      </c>
      <c r="E57" s="51">
        <f>' Мун. 2018'!D151</f>
        <v>643000</v>
      </c>
      <c r="F57" s="51">
        <v>0</v>
      </c>
      <c r="G57" s="51">
        <v>0</v>
      </c>
      <c r="H57" s="51">
        <f>' ПДД 2018'!D141</f>
        <v>139968</v>
      </c>
      <c r="I57" s="51"/>
      <c r="J57" s="182"/>
      <c r="K57" s="183"/>
      <c r="L57" s="183"/>
    </row>
    <row r="58" spans="1:12" s="166" customFormat="1" ht="51" customHeight="1" thickBot="1">
      <c r="A58" s="72" t="s">
        <v>86</v>
      </c>
      <c r="B58" s="63" t="s">
        <v>237</v>
      </c>
      <c r="C58" s="143">
        <v>244</v>
      </c>
      <c r="D58" s="51">
        <f t="shared" si="0"/>
        <v>50000</v>
      </c>
      <c r="E58" s="51">
        <f>' Мун. 2018'!E159</f>
        <v>0</v>
      </c>
      <c r="F58" s="51">
        <v>0</v>
      </c>
      <c r="G58" s="51">
        <v>0</v>
      </c>
      <c r="H58" s="51">
        <f>' ПДД 2018'!E154</f>
        <v>50000</v>
      </c>
      <c r="I58" s="51"/>
      <c r="J58" s="182"/>
      <c r="K58" s="183"/>
      <c r="L58" s="183"/>
    </row>
    <row r="59" spans="1:12" s="166" customFormat="1" ht="49.5" customHeight="1" thickBot="1">
      <c r="A59" s="72" t="s">
        <v>87</v>
      </c>
      <c r="B59" s="63" t="s">
        <v>238</v>
      </c>
      <c r="C59" s="143">
        <v>244</v>
      </c>
      <c r="D59" s="51">
        <f t="shared" si="0"/>
        <v>7645997.83</v>
      </c>
      <c r="E59" s="51">
        <f>' Мун. 2018'!E163</f>
        <v>1080286.83</v>
      </c>
      <c r="F59" s="51">
        <v>0</v>
      </c>
      <c r="G59" s="51">
        <v>0</v>
      </c>
      <c r="H59" s="51">
        <f>' ПДД 2018'!E165+' ПДД 2018'!E156</f>
        <v>6565711</v>
      </c>
      <c r="I59" s="51"/>
      <c r="J59" s="182"/>
      <c r="K59" s="183"/>
      <c r="L59" s="183"/>
    </row>
    <row r="60" spans="1:9" ht="38.25" thickBot="1">
      <c r="A60" s="31" t="s">
        <v>88</v>
      </c>
      <c r="B60" s="30" t="s">
        <v>239</v>
      </c>
      <c r="C60" s="171">
        <v>500</v>
      </c>
      <c r="D60" s="51">
        <f t="shared" si="0"/>
        <v>58935293.00450401</v>
      </c>
      <c r="E60" s="51">
        <f>E12</f>
        <v>50809614.00450401</v>
      </c>
      <c r="F60" s="51">
        <f>F12</f>
        <v>1370000</v>
      </c>
      <c r="G60" s="51">
        <f>G12</f>
        <v>0</v>
      </c>
      <c r="H60" s="51">
        <f>H12</f>
        <v>6755679</v>
      </c>
      <c r="I60" s="51"/>
    </row>
    <row r="61" spans="1:9" ht="38.25" thickBot="1">
      <c r="A61" s="31" t="s">
        <v>89</v>
      </c>
      <c r="B61" s="30" t="s">
        <v>240</v>
      </c>
      <c r="C61" s="171">
        <v>600</v>
      </c>
      <c r="D61" s="51">
        <f t="shared" si="0"/>
        <v>58935293.00450401</v>
      </c>
      <c r="E61" s="51">
        <f>E27</f>
        <v>50809614.00450401</v>
      </c>
      <c r="F61" s="51">
        <f>F27</f>
        <v>1370000</v>
      </c>
      <c r="G61" s="51">
        <f>G27</f>
        <v>0</v>
      </c>
      <c r="H61" s="51">
        <f>H27</f>
        <v>6755679</v>
      </c>
      <c r="I61" s="51"/>
    </row>
    <row r="62" spans="1:9" ht="33" customHeight="1" thickBot="1">
      <c r="A62" s="31" t="s">
        <v>90</v>
      </c>
      <c r="B62" s="30" t="s">
        <v>241</v>
      </c>
      <c r="C62" s="171">
        <v>600</v>
      </c>
      <c r="D62" s="51">
        <f>E62+H62</f>
        <v>0</v>
      </c>
      <c r="E62" s="51">
        <v>0</v>
      </c>
      <c r="F62" s="51">
        <v>0</v>
      </c>
      <c r="G62" s="51">
        <v>0</v>
      </c>
      <c r="H62" s="51">
        <v>0</v>
      </c>
      <c r="I62" s="51"/>
    </row>
    <row r="63" spans="5:8" ht="15">
      <c r="E63" s="60"/>
      <c r="F63" s="60"/>
      <c r="G63" s="60"/>
      <c r="H63" s="60"/>
    </row>
    <row r="64" spans="1:12" ht="15">
      <c r="A64" s="152"/>
      <c r="B64" s="152"/>
      <c r="C64" s="152"/>
      <c r="D64" s="163"/>
      <c r="E64" s="180"/>
      <c r="F64" s="180"/>
      <c r="G64" s="180"/>
      <c r="H64" s="180"/>
      <c r="I64" s="163"/>
      <c r="J64" s="192"/>
      <c r="K64" s="193"/>
      <c r="L64" s="193"/>
    </row>
    <row r="65" spans="1:12" s="166" customFormat="1" ht="35.25" customHeight="1">
      <c r="A65" s="265"/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</row>
    <row r="66" spans="1:12" s="166" customFormat="1" ht="18.75">
      <c r="A66" s="265"/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</row>
    <row r="67" spans="1:12" s="166" customFormat="1" ht="15">
      <c r="A67" s="163"/>
      <c r="B67" s="163"/>
      <c r="C67" s="163"/>
      <c r="D67" s="163"/>
      <c r="E67" s="163"/>
      <c r="F67" s="163"/>
      <c r="G67" s="163"/>
      <c r="H67" s="163"/>
      <c r="I67" s="163"/>
      <c r="J67" s="192"/>
      <c r="K67" s="193"/>
      <c r="L67" s="193"/>
    </row>
    <row r="68" spans="1:12" s="166" customFormat="1" ht="18.75">
      <c r="A68" s="267"/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</row>
    <row r="69" spans="1:12" s="166" customFormat="1" ht="18.75">
      <c r="A69" s="267"/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</row>
    <row r="70" spans="1:12" s="166" customFormat="1" ht="65.25" customHeight="1">
      <c r="A70" s="267"/>
      <c r="B70" s="267"/>
      <c r="C70" s="267"/>
      <c r="D70" s="267"/>
      <c r="E70" s="267"/>
      <c r="F70" s="267"/>
      <c r="G70" s="272"/>
      <c r="H70" s="272"/>
      <c r="I70" s="272"/>
      <c r="J70" s="273"/>
      <c r="K70" s="273"/>
      <c r="L70" s="273"/>
    </row>
    <row r="71" spans="1:12" s="166" customFormat="1" ht="71.25" customHeight="1">
      <c r="A71" s="267"/>
      <c r="B71" s="267"/>
      <c r="C71" s="267"/>
      <c r="D71" s="154"/>
      <c r="E71" s="154"/>
      <c r="F71" s="154"/>
      <c r="G71" s="154"/>
      <c r="H71" s="154"/>
      <c r="I71" s="154"/>
      <c r="J71" s="194"/>
      <c r="K71" s="195"/>
      <c r="L71" s="195"/>
    </row>
    <row r="72" spans="1:12" s="166" customFormat="1" ht="18.75">
      <c r="A72" s="164"/>
      <c r="B72" s="164"/>
      <c r="C72" s="164"/>
      <c r="D72" s="164"/>
      <c r="E72" s="164"/>
      <c r="F72" s="164"/>
      <c r="G72" s="164"/>
      <c r="H72" s="164"/>
      <c r="I72" s="164"/>
      <c r="J72" s="196"/>
      <c r="K72" s="197"/>
      <c r="L72" s="197"/>
    </row>
    <row r="73" spans="1:13" s="166" customFormat="1" ht="18.75">
      <c r="A73" s="52"/>
      <c r="B73" s="156"/>
      <c r="C73" s="164"/>
      <c r="D73" s="157"/>
      <c r="E73" s="157"/>
      <c r="F73" s="157"/>
      <c r="G73" s="157"/>
      <c r="H73" s="157"/>
      <c r="I73" s="157"/>
      <c r="J73" s="198"/>
      <c r="K73" s="199"/>
      <c r="L73" s="199"/>
      <c r="M73" s="166" t="s">
        <v>243</v>
      </c>
    </row>
    <row r="74" spans="1:12" s="166" customFormat="1" ht="81.75" customHeight="1">
      <c r="A74" s="52"/>
      <c r="B74" s="164"/>
      <c r="C74" s="164"/>
      <c r="D74" s="157"/>
      <c r="E74" s="157"/>
      <c r="F74" s="157"/>
      <c r="G74" s="157"/>
      <c r="H74" s="157"/>
      <c r="I74" s="157"/>
      <c r="J74" s="198"/>
      <c r="K74" s="199"/>
      <c r="L74" s="199"/>
    </row>
    <row r="75" spans="1:12" s="166" customFormat="1" ht="61.5" customHeight="1">
      <c r="A75" s="52"/>
      <c r="B75" s="164"/>
      <c r="C75" s="52"/>
      <c r="D75" s="157"/>
      <c r="E75" s="157"/>
      <c r="F75" s="157"/>
      <c r="G75" s="157"/>
      <c r="H75" s="157"/>
      <c r="I75" s="157"/>
      <c r="J75" s="198"/>
      <c r="K75" s="199"/>
      <c r="L75" s="199"/>
    </row>
    <row r="76" spans="1:12" s="166" customFormat="1" ht="15">
      <c r="A76" s="163"/>
      <c r="B76" s="163"/>
      <c r="C76" s="163"/>
      <c r="D76" s="163"/>
      <c r="E76" s="163"/>
      <c r="F76" s="163"/>
      <c r="G76" s="163"/>
      <c r="H76" s="163"/>
      <c r="I76" s="163"/>
      <c r="J76" s="192"/>
      <c r="K76" s="193"/>
      <c r="L76" s="193"/>
    </row>
    <row r="77" spans="1:12" s="166" customFormat="1" ht="15">
      <c r="A77" s="163"/>
      <c r="B77" s="163"/>
      <c r="C77" s="163"/>
      <c r="D77" s="163"/>
      <c r="E77" s="163"/>
      <c r="F77" s="163"/>
      <c r="G77" s="163"/>
      <c r="H77" s="163"/>
      <c r="I77" s="163"/>
      <c r="J77" s="192"/>
      <c r="K77" s="193"/>
      <c r="L77" s="193"/>
    </row>
    <row r="78" spans="1:12" s="166" customFormat="1" ht="45" customHeight="1">
      <c r="A78" s="163"/>
      <c r="B78" s="265"/>
      <c r="C78" s="265"/>
      <c r="D78" s="265"/>
      <c r="E78" s="265"/>
      <c r="F78" s="265"/>
      <c r="G78" s="163"/>
      <c r="H78" s="163"/>
      <c r="I78" s="163"/>
      <c r="J78" s="192"/>
      <c r="K78" s="193"/>
      <c r="L78" s="193"/>
    </row>
    <row r="79" spans="1:12" s="166" customFormat="1" ht="18.75" customHeight="1">
      <c r="A79" s="163"/>
      <c r="B79" s="265"/>
      <c r="C79" s="265"/>
      <c r="D79" s="265"/>
      <c r="E79" s="265"/>
      <c r="F79" s="265"/>
      <c r="G79" s="163"/>
      <c r="H79" s="163"/>
      <c r="I79" s="163"/>
      <c r="J79" s="192"/>
      <c r="K79" s="193"/>
      <c r="L79" s="193"/>
    </row>
    <row r="80" spans="1:12" s="166" customFormat="1" ht="15">
      <c r="A80" s="163"/>
      <c r="B80" s="266"/>
      <c r="C80" s="266"/>
      <c r="D80" s="266"/>
      <c r="E80" s="266"/>
      <c r="F80" s="266"/>
      <c r="G80" s="163"/>
      <c r="H80" s="163"/>
      <c r="I80" s="163"/>
      <c r="J80" s="192"/>
      <c r="K80" s="193"/>
      <c r="L80" s="193"/>
    </row>
    <row r="81" spans="1:12" s="166" customFormat="1" ht="18.75">
      <c r="A81" s="163"/>
      <c r="B81" s="164"/>
      <c r="C81" s="164"/>
      <c r="D81" s="164"/>
      <c r="E81" s="163"/>
      <c r="F81" s="164"/>
      <c r="G81" s="163"/>
      <c r="H81" s="163"/>
      <c r="I81" s="163"/>
      <c r="J81" s="192"/>
      <c r="K81" s="193"/>
      <c r="L81" s="193"/>
    </row>
    <row r="82" spans="1:12" s="166" customFormat="1" ht="18.75">
      <c r="A82" s="163"/>
      <c r="B82" s="163"/>
      <c r="C82" s="267"/>
      <c r="D82" s="267"/>
      <c r="E82" s="164"/>
      <c r="F82" s="163"/>
      <c r="G82" s="163"/>
      <c r="H82" s="163"/>
      <c r="I82" s="163"/>
      <c r="J82" s="192"/>
      <c r="K82" s="193"/>
      <c r="L82" s="193"/>
    </row>
    <row r="83" spans="1:12" s="166" customFormat="1" ht="18.75">
      <c r="A83" s="163"/>
      <c r="B83" s="163"/>
      <c r="C83" s="267"/>
      <c r="D83" s="267"/>
      <c r="E83" s="164"/>
      <c r="F83" s="163"/>
      <c r="G83" s="163"/>
      <c r="H83" s="163"/>
      <c r="I83" s="163"/>
      <c r="J83" s="192"/>
      <c r="K83" s="193"/>
      <c r="L83" s="193"/>
    </row>
    <row r="84" spans="1:12" s="166" customFormat="1" ht="18.75">
      <c r="A84" s="163"/>
      <c r="B84" s="163"/>
      <c r="C84" s="164"/>
      <c r="D84" s="164"/>
      <c r="E84" s="164"/>
      <c r="F84" s="163"/>
      <c r="G84" s="163"/>
      <c r="H84" s="163"/>
      <c r="I84" s="163"/>
      <c r="J84" s="192"/>
      <c r="K84" s="193"/>
      <c r="L84" s="193"/>
    </row>
    <row r="85" spans="1:12" s="166" customFormat="1" ht="18.75">
      <c r="A85" s="163"/>
      <c r="B85" s="163"/>
      <c r="C85" s="52"/>
      <c r="D85" s="156"/>
      <c r="E85" s="181"/>
      <c r="F85" s="163"/>
      <c r="G85" s="163"/>
      <c r="H85" s="163"/>
      <c r="I85" s="163"/>
      <c r="J85" s="192"/>
      <c r="K85" s="193"/>
      <c r="L85" s="193"/>
    </row>
    <row r="86" spans="1:12" s="166" customFormat="1" ht="18.75">
      <c r="A86" s="163"/>
      <c r="B86" s="163"/>
      <c r="C86" s="52"/>
      <c r="D86" s="156"/>
      <c r="E86" s="52"/>
      <c r="F86" s="163"/>
      <c r="G86" s="163"/>
      <c r="H86" s="163"/>
      <c r="I86" s="163"/>
      <c r="J86" s="192"/>
      <c r="K86" s="193"/>
      <c r="L86" s="193"/>
    </row>
    <row r="87" spans="1:12" s="166" customFormat="1" ht="18.75">
      <c r="A87" s="163"/>
      <c r="B87" s="163"/>
      <c r="C87" s="52"/>
      <c r="D87" s="156"/>
      <c r="E87" s="52"/>
      <c r="F87" s="163"/>
      <c r="G87" s="163"/>
      <c r="H87" s="163"/>
      <c r="I87" s="163"/>
      <c r="J87" s="192"/>
      <c r="K87" s="193"/>
      <c r="L87" s="193"/>
    </row>
    <row r="88" spans="1:12" s="166" customFormat="1" ht="18.75">
      <c r="A88" s="163"/>
      <c r="B88" s="163"/>
      <c r="C88" s="52"/>
      <c r="D88" s="158"/>
      <c r="E88" s="52"/>
      <c r="F88" s="163"/>
      <c r="G88" s="163"/>
      <c r="H88" s="163"/>
      <c r="I88" s="163"/>
      <c r="J88" s="192"/>
      <c r="K88" s="193"/>
      <c r="L88" s="193"/>
    </row>
    <row r="89" spans="1:12" s="166" customFormat="1" ht="18.75">
      <c r="A89" s="163"/>
      <c r="B89" s="163"/>
      <c r="C89" s="52"/>
      <c r="D89" s="156"/>
      <c r="E89" s="52"/>
      <c r="F89" s="163"/>
      <c r="G89" s="163"/>
      <c r="H89" s="163"/>
      <c r="I89" s="163"/>
      <c r="J89" s="192"/>
      <c r="K89" s="193"/>
      <c r="L89" s="193"/>
    </row>
    <row r="90" spans="1:12" s="166" customFormat="1" ht="18.75">
      <c r="A90" s="163"/>
      <c r="B90" s="163"/>
      <c r="C90" s="52"/>
      <c r="D90" s="52"/>
      <c r="E90" s="52"/>
      <c r="F90" s="163"/>
      <c r="G90" s="163"/>
      <c r="H90" s="163"/>
      <c r="I90" s="163"/>
      <c r="J90" s="192"/>
      <c r="K90" s="193"/>
      <c r="L90" s="193"/>
    </row>
    <row r="91" spans="1:12" s="166" customFormat="1" ht="15">
      <c r="A91" s="163"/>
      <c r="B91" s="163"/>
      <c r="C91" s="163"/>
      <c r="D91" s="163"/>
      <c r="E91" s="163"/>
      <c r="F91" s="163"/>
      <c r="G91" s="163"/>
      <c r="H91" s="163"/>
      <c r="I91" s="163"/>
      <c r="J91" s="192"/>
      <c r="K91" s="193"/>
      <c r="L91" s="193"/>
    </row>
    <row r="92" spans="1:12" s="166" customFormat="1" ht="18.75">
      <c r="A92" s="159"/>
      <c r="B92" s="163"/>
      <c r="C92" s="163"/>
      <c r="D92" s="163"/>
      <c r="E92" s="163"/>
      <c r="F92" s="163"/>
      <c r="G92" s="163"/>
      <c r="H92" s="163"/>
      <c r="I92" s="163"/>
      <c r="J92" s="192"/>
      <c r="K92" s="193"/>
      <c r="L92" s="193"/>
    </row>
    <row r="93" spans="1:12" s="166" customFormat="1" ht="83.25" customHeight="1">
      <c r="A93" s="275"/>
      <c r="B93" s="275"/>
      <c r="C93" s="277"/>
      <c r="D93" s="277"/>
      <c r="E93" s="276"/>
      <c r="F93" s="276"/>
      <c r="G93" s="163"/>
      <c r="H93" s="163"/>
      <c r="I93" s="163"/>
      <c r="J93" s="192"/>
      <c r="K93" s="193"/>
      <c r="L93" s="193"/>
    </row>
    <row r="94" spans="1:12" s="166" customFormat="1" ht="26.25" customHeight="1">
      <c r="A94" s="159"/>
      <c r="B94" s="163"/>
      <c r="C94" s="271"/>
      <c r="D94" s="271"/>
      <c r="E94" s="163"/>
      <c r="F94" s="163"/>
      <c r="G94" s="163"/>
      <c r="H94" s="163"/>
      <c r="I94" s="163"/>
      <c r="J94" s="192"/>
      <c r="K94" s="193"/>
      <c r="L94" s="193"/>
    </row>
    <row r="95" spans="1:12" s="166" customFormat="1" ht="18.75">
      <c r="A95" s="159"/>
      <c r="B95" s="163"/>
      <c r="C95" s="163"/>
      <c r="D95" s="160"/>
      <c r="E95" s="163"/>
      <c r="F95" s="163"/>
      <c r="G95" s="163"/>
      <c r="H95" s="163"/>
      <c r="I95" s="163"/>
      <c r="J95" s="192"/>
      <c r="K95" s="193"/>
      <c r="L95" s="193"/>
    </row>
    <row r="96" spans="1:12" s="166" customFormat="1" ht="18.75">
      <c r="A96" s="159"/>
      <c r="B96" s="163"/>
      <c r="C96" s="163"/>
      <c r="D96" s="163"/>
      <c r="E96" s="163"/>
      <c r="F96" s="163"/>
      <c r="G96" s="163"/>
      <c r="H96" s="163"/>
      <c r="I96" s="163"/>
      <c r="J96" s="192"/>
      <c r="K96" s="193"/>
      <c r="L96" s="193"/>
    </row>
    <row r="97" spans="1:12" s="166" customFormat="1" ht="18.75">
      <c r="A97" s="159"/>
      <c r="B97" s="163"/>
      <c r="C97" s="163"/>
      <c r="D97" s="163"/>
      <c r="E97" s="163"/>
      <c r="F97" s="163"/>
      <c r="G97" s="163"/>
      <c r="H97" s="163"/>
      <c r="I97" s="163"/>
      <c r="J97" s="192"/>
      <c r="K97" s="193"/>
      <c r="L97" s="193"/>
    </row>
    <row r="98" spans="1:12" s="166" customFormat="1" ht="37.5" customHeight="1">
      <c r="A98" s="159"/>
      <c r="B98" s="163"/>
      <c r="C98" s="274"/>
      <c r="D98" s="274"/>
      <c r="E98" s="276"/>
      <c r="F98" s="276"/>
      <c r="G98" s="163"/>
      <c r="H98" s="163"/>
      <c r="I98" s="163"/>
      <c r="J98" s="192"/>
      <c r="K98" s="193"/>
      <c r="L98" s="193"/>
    </row>
    <row r="99" spans="1:12" s="166" customFormat="1" ht="45" customHeight="1">
      <c r="A99" s="159"/>
      <c r="B99" s="163"/>
      <c r="C99" s="271"/>
      <c r="D99" s="271"/>
      <c r="E99" s="163"/>
      <c r="F99" s="163"/>
      <c r="G99" s="163"/>
      <c r="H99" s="163"/>
      <c r="I99" s="163"/>
      <c r="J99" s="192"/>
      <c r="K99" s="193"/>
      <c r="L99" s="193"/>
    </row>
    <row r="1206" ht="15"/>
  </sheetData>
  <sheetProtection/>
  <mergeCells count="124">
    <mergeCell ref="A3:I3"/>
    <mergeCell ref="A4:I4"/>
    <mergeCell ref="A6:A9"/>
    <mergeCell ref="B6:B9"/>
    <mergeCell ref="C6:C9"/>
    <mergeCell ref="D6:I6"/>
    <mergeCell ref="D7:D9"/>
    <mergeCell ref="E7:I7"/>
    <mergeCell ref="E8:E9"/>
    <mergeCell ref="F8:F9"/>
    <mergeCell ref="G8:G9"/>
    <mergeCell ref="H8:I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M13:M16"/>
    <mergeCell ref="B15:B16"/>
    <mergeCell ref="C15:C16"/>
    <mergeCell ref="D15:D16"/>
    <mergeCell ref="E15:E16"/>
    <mergeCell ref="F15:F16"/>
    <mergeCell ref="G15:G16"/>
    <mergeCell ref="H15:H16"/>
    <mergeCell ref="I15:I16"/>
    <mergeCell ref="B18:B19"/>
    <mergeCell ref="C18:C19"/>
    <mergeCell ref="D18:D19"/>
    <mergeCell ref="E18:E19"/>
    <mergeCell ref="F18:F19"/>
    <mergeCell ref="G18:G19"/>
    <mergeCell ref="H18:H19"/>
    <mergeCell ref="I18:I19"/>
    <mergeCell ref="B21:B22"/>
    <mergeCell ref="C21:C22"/>
    <mergeCell ref="D21:D22"/>
    <mergeCell ref="E21:E22"/>
    <mergeCell ref="F21:F22"/>
    <mergeCell ref="G21:G22"/>
    <mergeCell ref="H21:H22"/>
    <mergeCell ref="I21:I22"/>
    <mergeCell ref="B28:B29"/>
    <mergeCell ref="C28:C29"/>
    <mergeCell ref="D28:D29"/>
    <mergeCell ref="E28:E29"/>
    <mergeCell ref="F28:F29"/>
    <mergeCell ref="G28:G29"/>
    <mergeCell ref="H28:H29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B35:B36"/>
    <mergeCell ref="C35:C36"/>
    <mergeCell ref="D35:D36"/>
    <mergeCell ref="E35:E36"/>
    <mergeCell ref="F35:F36"/>
    <mergeCell ref="G35:G36"/>
    <mergeCell ref="H35:H36"/>
    <mergeCell ref="I35:I36"/>
    <mergeCell ref="B38:B39"/>
    <mergeCell ref="C38:C39"/>
    <mergeCell ref="D38:D39"/>
    <mergeCell ref="E38:E39"/>
    <mergeCell ref="F38:F39"/>
    <mergeCell ref="G38:G39"/>
    <mergeCell ref="H38:H39"/>
    <mergeCell ref="I38:I39"/>
    <mergeCell ref="B44:B45"/>
    <mergeCell ref="C44:C45"/>
    <mergeCell ref="D44:D45"/>
    <mergeCell ref="E44:E45"/>
    <mergeCell ref="F44:F45"/>
    <mergeCell ref="G44:G45"/>
    <mergeCell ref="H44:H45"/>
    <mergeCell ref="I44:I45"/>
    <mergeCell ref="B48:B49"/>
    <mergeCell ref="C48:C49"/>
    <mergeCell ref="D48:D49"/>
    <mergeCell ref="E48:E49"/>
    <mergeCell ref="F48:F49"/>
    <mergeCell ref="G48:G49"/>
    <mergeCell ref="H48:H49"/>
    <mergeCell ref="I48:I49"/>
    <mergeCell ref="B51:B52"/>
    <mergeCell ref="C51:C52"/>
    <mergeCell ref="D51:D52"/>
    <mergeCell ref="E51:E52"/>
    <mergeCell ref="F51:F52"/>
    <mergeCell ref="G51:G52"/>
    <mergeCell ref="H51:H52"/>
    <mergeCell ref="I51:I52"/>
    <mergeCell ref="A65:L65"/>
    <mergeCell ref="A66:L66"/>
    <mergeCell ref="A68:A71"/>
    <mergeCell ref="B68:B71"/>
    <mergeCell ref="C68:C71"/>
    <mergeCell ref="D68:L68"/>
    <mergeCell ref="D69:F70"/>
    <mergeCell ref="G69:L69"/>
    <mergeCell ref="G70:I70"/>
    <mergeCell ref="J70:L70"/>
    <mergeCell ref="B78:F78"/>
    <mergeCell ref="B79:F79"/>
    <mergeCell ref="B80:F80"/>
    <mergeCell ref="C82:C83"/>
    <mergeCell ref="D82:D83"/>
    <mergeCell ref="C99:D99"/>
    <mergeCell ref="A93:B93"/>
    <mergeCell ref="C93:D93"/>
    <mergeCell ref="E93:F93"/>
    <mergeCell ref="C94:D94"/>
    <mergeCell ref="C98:D98"/>
    <mergeCell ref="E98:F98"/>
  </mergeCells>
  <hyperlinks>
    <hyperlink ref="A6" location="Par1206" display="Par1206"/>
    <hyperlink ref="F8" r:id="rId1" display="consultantplus://offline/ref=EC513630DD0A2F9B2EC0205798B851993A5251D08ECB4308CDDA19182ECC2154EE9666852E0BHBNDC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2"/>
  <rowBreaks count="3" manualBreakCount="3">
    <brk id="22" max="8" man="1"/>
    <brk id="36" max="8" man="1"/>
    <brk id="52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S168"/>
  <sheetViews>
    <sheetView view="pageBreakPreview" zoomScale="60" zoomScaleNormal="60" zoomScalePageLayoutView="0" workbookViewId="0" topLeftCell="A145">
      <selection activeCell="A153" sqref="A1:IV16384"/>
    </sheetView>
  </sheetViews>
  <sheetFormatPr defaultColWidth="9.140625" defaultRowHeight="15"/>
  <cols>
    <col min="1" max="1" width="8.57421875" style="89" customWidth="1"/>
    <col min="2" max="2" width="30.140625" style="89" customWidth="1"/>
    <col min="3" max="3" width="21.140625" style="89" customWidth="1"/>
    <col min="4" max="4" width="19.57421875" style="89" customWidth="1"/>
    <col min="5" max="5" width="20.7109375" style="89" customWidth="1"/>
    <col min="6" max="6" width="21.421875" style="89" customWidth="1"/>
    <col min="7" max="7" width="23.00390625" style="89" customWidth="1"/>
    <col min="8" max="8" width="15.421875" style="89" customWidth="1"/>
    <col min="9" max="9" width="15.00390625" style="89" customWidth="1"/>
    <col min="10" max="10" width="21.140625" style="89" customWidth="1"/>
    <col min="11" max="11" width="9.140625" style="174" customWidth="1"/>
    <col min="12" max="12" width="25.8515625" style="174" customWidth="1"/>
    <col min="13" max="13" width="18.7109375" style="174" customWidth="1"/>
    <col min="14" max="14" width="24.7109375" style="174" bestFit="1" customWidth="1"/>
    <col min="15" max="15" width="24.8515625" style="174" customWidth="1"/>
    <col min="16" max="17" width="9.140625" style="174" customWidth="1"/>
    <col min="18" max="19" width="13.421875" style="174" bestFit="1" customWidth="1"/>
    <col min="20" max="16384" width="9.140625" style="89" customWidth="1"/>
  </cols>
  <sheetData>
    <row r="1" ht="18.75">
      <c r="J1" s="227" t="s">
        <v>118</v>
      </c>
    </row>
    <row r="2" ht="18.75">
      <c r="J2" s="227" t="s">
        <v>119</v>
      </c>
    </row>
    <row r="3" ht="16.5">
      <c r="J3" s="228" t="s">
        <v>120</v>
      </c>
    </row>
    <row r="4" ht="16.5">
      <c r="J4" s="228" t="s">
        <v>121</v>
      </c>
    </row>
    <row r="5" ht="16.5">
      <c r="J5" s="228" t="s">
        <v>122</v>
      </c>
    </row>
    <row r="6" ht="16.5">
      <c r="J6" s="228" t="s">
        <v>123</v>
      </c>
    </row>
    <row r="7" ht="16.5">
      <c r="J7" s="228" t="s">
        <v>124</v>
      </c>
    </row>
    <row r="8" ht="16.5">
      <c r="J8" s="228" t="s">
        <v>125</v>
      </c>
    </row>
    <row r="11" spans="1:10" ht="15" customHeight="1">
      <c r="A11" s="307" t="s">
        <v>367</v>
      </c>
      <c r="B11" s="307"/>
      <c r="C11" s="307"/>
      <c r="D11" s="307"/>
      <c r="E11" s="307"/>
      <c r="F11" s="307"/>
      <c r="G11" s="307"/>
      <c r="H11" s="307"/>
      <c r="I11" s="307"/>
      <c r="J11" s="307"/>
    </row>
    <row r="12" spans="1:10" ht="18.75">
      <c r="A12" s="229"/>
      <c r="B12" s="229"/>
      <c r="C12" s="223"/>
      <c r="D12" s="229"/>
      <c r="E12" s="229"/>
      <c r="F12" s="229"/>
      <c r="G12" s="229"/>
      <c r="H12" s="229"/>
      <c r="I12" s="229"/>
      <c r="J12" s="229"/>
    </row>
    <row r="13" spans="1:10" ht="18.75">
      <c r="A13" s="307" t="s">
        <v>126</v>
      </c>
      <c r="B13" s="307"/>
      <c r="C13" s="307"/>
      <c r="D13" s="307"/>
      <c r="E13" s="307"/>
      <c r="F13" s="307"/>
      <c r="G13" s="307"/>
      <c r="H13" s="307"/>
      <c r="I13" s="307"/>
      <c r="J13" s="307"/>
    </row>
    <row r="14" spans="1:10" ht="15">
      <c r="A14" s="229"/>
      <c r="B14" s="229"/>
      <c r="C14" s="229"/>
      <c r="D14" s="229"/>
      <c r="E14" s="229"/>
      <c r="F14" s="229"/>
      <c r="G14" s="229"/>
      <c r="H14" s="229"/>
      <c r="I14" s="229"/>
      <c r="J14" s="229"/>
    </row>
    <row r="15" spans="1:10" ht="18.75">
      <c r="A15" s="308" t="s">
        <v>288</v>
      </c>
      <c r="B15" s="308"/>
      <c r="C15" s="308"/>
      <c r="D15" s="308"/>
      <c r="E15" s="308"/>
      <c r="F15" s="308"/>
      <c r="G15" s="308"/>
      <c r="H15" s="308"/>
      <c r="I15" s="308"/>
      <c r="J15" s="308"/>
    </row>
    <row r="16" spans="1:10" ht="21" customHeight="1">
      <c r="A16" s="308" t="s">
        <v>289</v>
      </c>
      <c r="B16" s="308"/>
      <c r="C16" s="308"/>
      <c r="D16" s="308"/>
      <c r="E16" s="308"/>
      <c r="F16" s="308"/>
      <c r="G16" s="308"/>
      <c r="H16" s="308"/>
      <c r="I16" s="308"/>
      <c r="J16" s="308"/>
    </row>
    <row r="17" ht="18.75">
      <c r="A17" s="101"/>
    </row>
    <row r="18" spans="1:10" ht="18.75">
      <c r="A18" s="307" t="s">
        <v>127</v>
      </c>
      <c r="B18" s="307"/>
      <c r="C18" s="307"/>
      <c r="D18" s="307"/>
      <c r="E18" s="307"/>
      <c r="F18" s="307"/>
      <c r="G18" s="307"/>
      <c r="H18" s="307"/>
      <c r="I18" s="307"/>
      <c r="J18" s="307"/>
    </row>
    <row r="19" ht="15.75" thickBot="1"/>
    <row r="20" spans="1:12" ht="36" customHeight="1" thickBot="1">
      <c r="A20" s="282" t="s">
        <v>0</v>
      </c>
      <c r="B20" s="282" t="s">
        <v>128</v>
      </c>
      <c r="C20" s="282" t="s">
        <v>335</v>
      </c>
      <c r="D20" s="295" t="s">
        <v>130</v>
      </c>
      <c r="E20" s="301"/>
      <c r="F20" s="301"/>
      <c r="G20" s="296"/>
      <c r="H20" s="282" t="s">
        <v>131</v>
      </c>
      <c r="I20" s="282" t="s">
        <v>132</v>
      </c>
      <c r="J20" s="282" t="s">
        <v>334</v>
      </c>
      <c r="L20" s="173"/>
    </row>
    <row r="21" spans="1:10" ht="19.5" thickBot="1">
      <c r="A21" s="286"/>
      <c r="B21" s="286"/>
      <c r="C21" s="286"/>
      <c r="D21" s="282" t="s">
        <v>134</v>
      </c>
      <c r="E21" s="295" t="s">
        <v>22</v>
      </c>
      <c r="F21" s="301"/>
      <c r="G21" s="296"/>
      <c r="H21" s="286"/>
      <c r="I21" s="286"/>
      <c r="J21" s="286"/>
    </row>
    <row r="22" spans="1:12" ht="109.5" customHeight="1" thickBot="1">
      <c r="A22" s="283"/>
      <c r="B22" s="283"/>
      <c r="C22" s="283"/>
      <c r="D22" s="283"/>
      <c r="E22" s="143" t="s">
        <v>135</v>
      </c>
      <c r="F22" s="143" t="s">
        <v>136</v>
      </c>
      <c r="G22" s="143" t="s">
        <v>137</v>
      </c>
      <c r="H22" s="283"/>
      <c r="I22" s="283"/>
      <c r="J22" s="283"/>
      <c r="L22" s="174">
        <v>1580197.3200000003</v>
      </c>
    </row>
    <row r="23" spans="1:10" ht="19.5" thickBot="1">
      <c r="A23" s="220">
        <v>1</v>
      </c>
      <c r="B23" s="143">
        <v>2</v>
      </c>
      <c r="C23" s="143">
        <v>3</v>
      </c>
      <c r="D23" s="143">
        <v>4</v>
      </c>
      <c r="E23" s="143">
        <v>5</v>
      </c>
      <c r="F23" s="143">
        <v>6</v>
      </c>
      <c r="G23" s="143">
        <v>7</v>
      </c>
      <c r="H23" s="143">
        <v>8</v>
      </c>
      <c r="I23" s="143">
        <v>9</v>
      </c>
      <c r="J23" s="143">
        <v>10</v>
      </c>
    </row>
    <row r="24" spans="1:16" ht="38.25" thickBot="1">
      <c r="A24" s="220"/>
      <c r="B24" s="220" t="s">
        <v>280</v>
      </c>
      <c r="C24" s="143">
        <v>3.65</v>
      </c>
      <c r="D24" s="51">
        <f>E24+F24+G24</f>
        <v>32860.63421988155</v>
      </c>
      <c r="E24" s="51">
        <f>77013.1/C24</f>
        <v>21099.479452054795</v>
      </c>
      <c r="F24" s="51"/>
      <c r="G24" s="51">
        <f>E24*K24+878.117957147875-1776.650860554</f>
        <v>11761.15476782675</v>
      </c>
      <c r="H24" s="51"/>
      <c r="I24" s="51">
        <v>1.6</v>
      </c>
      <c r="J24" s="51">
        <f>((D24*I24)+(D24))*C24*12</f>
        <v>3742169.024960111</v>
      </c>
      <c r="K24" s="174">
        <v>0.6</v>
      </c>
      <c r="L24" s="173">
        <v>3944428.48</v>
      </c>
      <c r="M24" s="173">
        <f>J24-L24</f>
        <v>-202259.4550398891</v>
      </c>
      <c r="N24" s="203">
        <f>M24/2.6/12/C24</f>
        <v>-1776.0752989101607</v>
      </c>
      <c r="P24" s="174">
        <f aca="true" t="shared" si="0" ref="P24:P29">D24*2.6</f>
        <v>85437.64897169203</v>
      </c>
    </row>
    <row r="25" spans="1:16" ht="38.25" thickBot="1">
      <c r="A25" s="220"/>
      <c r="B25" s="220" t="s">
        <v>281</v>
      </c>
      <c r="C25" s="143">
        <v>32</v>
      </c>
      <c r="D25" s="51">
        <f>E25+F25+G25</f>
        <v>21182.226689530362</v>
      </c>
      <c r="E25" s="51">
        <f>309095.66/C25</f>
        <v>9659.239375</v>
      </c>
      <c r="F25" s="51"/>
      <c r="G25" s="51">
        <f>E25*K25+E25*0.2-771.19528051764+3958.259014423</f>
        <v>11522.98731453036</v>
      </c>
      <c r="H25" s="230"/>
      <c r="I25" s="51">
        <v>1.6</v>
      </c>
      <c r="J25" s="51">
        <f>((D25*I25)+(D25))*C25*12</f>
        <v>21148335.126827113</v>
      </c>
      <c r="K25" s="174">
        <v>0.663</v>
      </c>
      <c r="L25" s="173">
        <f>17416877.88+27910.85446719</f>
        <v>17444788.73446719</v>
      </c>
      <c r="M25" s="173">
        <f>J25-L25</f>
        <v>3703546.3923599236</v>
      </c>
      <c r="N25" s="203">
        <f>M25/2.6/12/C25</f>
        <v>3709.4815628605006</v>
      </c>
      <c r="P25" s="174">
        <f t="shared" si="0"/>
        <v>55073.78939277894</v>
      </c>
    </row>
    <row r="26" spans="1:16" ht="57" thickBot="1">
      <c r="A26" s="231"/>
      <c r="B26" s="220" t="s">
        <v>282</v>
      </c>
      <c r="C26" s="143">
        <v>20</v>
      </c>
      <c r="D26" s="51">
        <f>E26+F26+G26</f>
        <v>8683.600986413643</v>
      </c>
      <c r="E26" s="51">
        <f>117362.84/C26</f>
        <v>5868.142</v>
      </c>
      <c r="F26" s="51"/>
      <c r="G26" s="51">
        <f>E26*K26+578.269093+507.580208-0.0012325353574-324.238782051</f>
        <v>2815.4589864136424</v>
      </c>
      <c r="H26" s="51"/>
      <c r="I26" s="51">
        <v>1.6</v>
      </c>
      <c r="J26" s="51">
        <f>((D26*I26)+(D26))*C26*12</f>
        <v>5418567.015522114</v>
      </c>
      <c r="K26" s="174">
        <v>0.35</v>
      </c>
      <c r="L26" s="173">
        <v>10313060.604634875</v>
      </c>
      <c r="M26" s="173">
        <f>J26+J27-L26</f>
        <v>-1628196.6219080929</v>
      </c>
      <c r="N26" s="204">
        <f>M26/2.6/12/C26</f>
        <v>-2609.289458186046</v>
      </c>
      <c r="P26" s="174">
        <f t="shared" si="0"/>
        <v>22577.362564675474</v>
      </c>
    </row>
    <row r="27" spans="1:19" ht="38.25" thickBot="1">
      <c r="A27" s="231"/>
      <c r="B27" s="220" t="s">
        <v>283</v>
      </c>
      <c r="C27" s="143">
        <v>18.6</v>
      </c>
      <c r="D27" s="51">
        <f>E27+F27+G27</f>
        <v>5628.44114834</v>
      </c>
      <c r="E27" s="92">
        <f>62885.05/C27</f>
        <v>3380.9166666666665</v>
      </c>
      <c r="F27" s="92"/>
      <c r="G27" s="51">
        <f>E27*K27+500-348.64385166</f>
        <v>2247.524481673333</v>
      </c>
      <c r="H27" s="143"/>
      <c r="I27" s="51">
        <v>1.6</v>
      </c>
      <c r="J27" s="51">
        <f>((D27*I27)+(D27))*C27*12</f>
        <v>3266296.967204669</v>
      </c>
      <c r="K27" s="174">
        <v>0.62</v>
      </c>
      <c r="L27" s="173">
        <f>SUM(L24:L26)</f>
        <v>31702277.819102064</v>
      </c>
      <c r="M27" s="173">
        <v>5492446</v>
      </c>
      <c r="P27" s="174">
        <f t="shared" si="0"/>
        <v>14633.946985684</v>
      </c>
      <c r="R27" s="173">
        <f>L27-J28</f>
        <v>-1873090.3154119477</v>
      </c>
      <c r="S27" s="205">
        <f>R27-259000-100000</f>
        <v>-2232090.3154119477</v>
      </c>
    </row>
    <row r="28" spans="1:16" ht="39.75" customHeight="1" thickBot="1">
      <c r="A28" s="305" t="s">
        <v>138</v>
      </c>
      <c r="B28" s="306"/>
      <c r="C28" s="232" t="s">
        <v>139</v>
      </c>
      <c r="D28" s="232"/>
      <c r="E28" s="232" t="s">
        <v>139</v>
      </c>
      <c r="F28" s="232" t="s">
        <v>139</v>
      </c>
      <c r="G28" s="232" t="s">
        <v>139</v>
      </c>
      <c r="H28" s="233" t="s">
        <v>139</v>
      </c>
      <c r="I28" s="232" t="s">
        <v>139</v>
      </c>
      <c r="J28" s="234">
        <f>SUM(J24:J27)</f>
        <v>33575368.13451401</v>
      </c>
      <c r="L28" s="173">
        <f>L27-J28</f>
        <v>-1873090.3154119477</v>
      </c>
      <c r="M28" s="174">
        <f>M27*2.6</f>
        <v>14280359.6</v>
      </c>
      <c r="P28" s="174">
        <f t="shared" si="0"/>
        <v>0</v>
      </c>
    </row>
    <row r="29" spans="12:16" ht="15">
      <c r="L29" s="206">
        <f>L28/12/2.6/10.65</f>
        <v>-5637.084132093257</v>
      </c>
      <c r="M29" s="173"/>
      <c r="P29" s="174">
        <f t="shared" si="0"/>
        <v>0</v>
      </c>
    </row>
    <row r="30" spans="12:13" ht="15">
      <c r="L30" s="173"/>
      <c r="M30" s="173"/>
    </row>
    <row r="31" spans="1:12" ht="38.25" customHeight="1">
      <c r="A31" s="304" t="s">
        <v>186</v>
      </c>
      <c r="B31" s="304"/>
      <c r="C31" s="304"/>
      <c r="D31" s="304"/>
      <c r="E31" s="304"/>
      <c r="F31" s="304"/>
      <c r="L31" s="173">
        <f>J24+J26+J27</f>
        <v>12427033.007686894</v>
      </c>
    </row>
    <row r="32" ht="15.75" thickBot="1">
      <c r="L32" s="173">
        <f>L24+L26</f>
        <v>14257489.084634876</v>
      </c>
    </row>
    <row r="33" spans="1:15" ht="123" customHeight="1" thickBot="1">
      <c r="A33" s="91" t="s">
        <v>0</v>
      </c>
      <c r="B33" s="222" t="s">
        <v>140</v>
      </c>
      <c r="C33" s="222" t="s">
        <v>141</v>
      </c>
      <c r="D33" s="222" t="s">
        <v>142</v>
      </c>
      <c r="E33" s="222" t="s">
        <v>143</v>
      </c>
      <c r="F33" s="222" t="s">
        <v>144</v>
      </c>
      <c r="J33" s="173">
        <f>J28-12427033-19275244.05</f>
        <v>1873091.0845140107</v>
      </c>
      <c r="L33" s="173">
        <f>12427033+19275244.05</f>
        <v>31702277.05</v>
      </c>
      <c r="M33" s="174">
        <f>L33/2.6/12/(C27)</f>
        <v>54628.95824717397</v>
      </c>
      <c r="N33" s="200">
        <f>J28*30%</f>
        <v>10072610.440354204</v>
      </c>
      <c r="O33" s="174">
        <f>L33/2.6/12/(C26)</f>
        <v>50804.931169871794</v>
      </c>
    </row>
    <row r="34" spans="1:12" ht="19.5" thickBot="1">
      <c r="A34" s="220">
        <v>1</v>
      </c>
      <c r="B34" s="143">
        <v>2</v>
      </c>
      <c r="C34" s="143">
        <v>3</v>
      </c>
      <c r="D34" s="143">
        <v>4</v>
      </c>
      <c r="E34" s="143">
        <v>5</v>
      </c>
      <c r="F34" s="143">
        <v>6</v>
      </c>
      <c r="L34" s="201">
        <f>(L33-J28)/12/C26/2.6</f>
        <v>-3001.748532875017</v>
      </c>
    </row>
    <row r="35" spans="1:13" ht="19.5" thickBot="1">
      <c r="A35" s="220">
        <v>1</v>
      </c>
      <c r="B35" s="143"/>
      <c r="C35" s="92">
        <v>0</v>
      </c>
      <c r="D35" s="92">
        <v>0</v>
      </c>
      <c r="E35" s="92">
        <v>0</v>
      </c>
      <c r="F35" s="92">
        <f>C35*D35*E35</f>
        <v>0</v>
      </c>
      <c r="L35" s="174" t="s">
        <v>310</v>
      </c>
      <c r="M35" s="173">
        <f>L27-J28-259000-100000</f>
        <v>-2232090.3154119477</v>
      </c>
    </row>
    <row r="36" spans="1:13" ht="19.5" thickBot="1">
      <c r="A36" s="220"/>
      <c r="B36" s="108" t="s">
        <v>138</v>
      </c>
      <c r="C36" s="66" t="s">
        <v>139</v>
      </c>
      <c r="D36" s="66" t="s">
        <v>139</v>
      </c>
      <c r="E36" s="66" t="s">
        <v>139</v>
      </c>
      <c r="F36" s="109">
        <f>F35</f>
        <v>0</v>
      </c>
      <c r="L36" s="207">
        <v>213</v>
      </c>
      <c r="M36" s="173">
        <f>M27-D55</f>
        <v>-4646912.84</v>
      </c>
    </row>
    <row r="38" spans="1:6" ht="18.75">
      <c r="A38" s="304" t="s">
        <v>344</v>
      </c>
      <c r="B38" s="304"/>
      <c r="C38" s="304"/>
      <c r="D38" s="304"/>
      <c r="E38" s="304"/>
      <c r="F38" s="304"/>
    </row>
    <row r="39" ht="15.75" thickBot="1"/>
    <row r="40" spans="1:6" ht="124.5" customHeight="1" thickBot="1">
      <c r="A40" s="91" t="s">
        <v>0</v>
      </c>
      <c r="B40" s="222" t="s">
        <v>140</v>
      </c>
      <c r="C40" s="222" t="s">
        <v>145</v>
      </c>
      <c r="D40" s="222" t="s">
        <v>146</v>
      </c>
      <c r="E40" s="222" t="s">
        <v>147</v>
      </c>
      <c r="F40" s="222" t="s">
        <v>144</v>
      </c>
    </row>
    <row r="41" spans="1:6" ht="19.5" thickBot="1">
      <c r="A41" s="220">
        <v>1</v>
      </c>
      <c r="B41" s="143">
        <v>2</v>
      </c>
      <c r="C41" s="143">
        <v>3</v>
      </c>
      <c r="D41" s="143">
        <v>4</v>
      </c>
      <c r="E41" s="143">
        <v>5</v>
      </c>
      <c r="F41" s="143">
        <v>6</v>
      </c>
    </row>
    <row r="42" spans="1:6" ht="51.75" customHeight="1" thickBot="1">
      <c r="A42" s="220">
        <v>1</v>
      </c>
      <c r="B42" s="143" t="s">
        <v>265</v>
      </c>
      <c r="C42" s="143">
        <v>2</v>
      </c>
      <c r="D42" s="143">
        <v>12</v>
      </c>
      <c r="E42" s="92">
        <v>90</v>
      </c>
      <c r="F42" s="92">
        <f>C42*D42*E42</f>
        <v>2160</v>
      </c>
    </row>
    <row r="43" spans="1:6" ht="19.5" thickBot="1">
      <c r="A43" s="220"/>
      <c r="B43" s="108" t="s">
        <v>138</v>
      </c>
      <c r="C43" s="66" t="s">
        <v>139</v>
      </c>
      <c r="D43" s="66" t="s">
        <v>139</v>
      </c>
      <c r="E43" s="66" t="s">
        <v>139</v>
      </c>
      <c r="F43" s="112">
        <f>F42</f>
        <v>2160</v>
      </c>
    </row>
    <row r="45" spans="1:5" ht="80.25" customHeight="1">
      <c r="A45" s="304" t="s">
        <v>188</v>
      </c>
      <c r="B45" s="304"/>
      <c r="C45" s="304"/>
      <c r="D45" s="304"/>
      <c r="E45" s="304"/>
    </row>
    <row r="46" ht="15.75" thickBot="1"/>
    <row r="47" spans="1:4" ht="144.75" customHeight="1" thickBot="1">
      <c r="A47" s="91" t="s">
        <v>0</v>
      </c>
      <c r="B47" s="222" t="s">
        <v>148</v>
      </c>
      <c r="C47" s="222" t="s">
        <v>149</v>
      </c>
      <c r="D47" s="222" t="s">
        <v>150</v>
      </c>
    </row>
    <row r="48" spans="1:4" ht="19.5" thickBot="1">
      <c r="A48" s="220">
        <v>1</v>
      </c>
      <c r="B48" s="143">
        <v>2</v>
      </c>
      <c r="C48" s="143">
        <v>3</v>
      </c>
      <c r="D48" s="143">
        <v>4</v>
      </c>
    </row>
    <row r="49" spans="1:4" ht="113.25" customHeight="1" thickBot="1">
      <c r="A49" s="220">
        <v>1</v>
      </c>
      <c r="B49" s="94" t="s">
        <v>151</v>
      </c>
      <c r="C49" s="143" t="s">
        <v>139</v>
      </c>
      <c r="D49" s="51">
        <f>D50+D52</f>
        <v>7386178.65296985</v>
      </c>
    </row>
    <row r="50" spans="1:4" ht="18.75">
      <c r="A50" s="282" t="s">
        <v>152</v>
      </c>
      <c r="B50" s="95" t="s">
        <v>22</v>
      </c>
      <c r="C50" s="282"/>
      <c r="D50" s="278">
        <f>3753163.97+6386194.87-D53-D54</f>
        <v>7386178.65296985</v>
      </c>
    </row>
    <row r="51" spans="1:4" ht="19.5" thickBot="1">
      <c r="A51" s="283"/>
      <c r="B51" s="96" t="s">
        <v>153</v>
      </c>
      <c r="C51" s="283"/>
      <c r="D51" s="279"/>
    </row>
    <row r="52" spans="1:4" ht="19.5" thickBot="1">
      <c r="A52" s="220" t="s">
        <v>154</v>
      </c>
      <c r="B52" s="97" t="s">
        <v>155</v>
      </c>
      <c r="C52" s="143"/>
      <c r="D52" s="51"/>
    </row>
    <row r="53" spans="1:4" ht="120.75" customHeight="1" thickBot="1">
      <c r="A53" s="220">
        <v>2</v>
      </c>
      <c r="B53" s="94" t="s">
        <v>156</v>
      </c>
      <c r="C53" s="143" t="s">
        <v>139</v>
      </c>
      <c r="D53" s="51">
        <f>C54*3.1%</f>
        <v>1040836.4121699344</v>
      </c>
    </row>
    <row r="54" spans="1:4" ht="164.25" customHeight="1" thickBot="1">
      <c r="A54" s="220">
        <v>3</v>
      </c>
      <c r="B54" s="94" t="s">
        <v>157</v>
      </c>
      <c r="C54" s="51">
        <f>J28</f>
        <v>33575368.13451401</v>
      </c>
      <c r="D54" s="51">
        <f>C54*5.1%</f>
        <v>1712343.7748602144</v>
      </c>
    </row>
    <row r="55" spans="1:5" ht="19.5" thickBot="1">
      <c r="A55" s="220"/>
      <c r="B55" s="108" t="s">
        <v>138</v>
      </c>
      <c r="C55" s="66" t="s">
        <v>139</v>
      </c>
      <c r="D55" s="67">
        <f>D50+D53+D54</f>
        <v>10139358.84</v>
      </c>
      <c r="E55" s="173">
        <f>6025910.95+3753163.97-D55</f>
        <v>-360283.9199999999</v>
      </c>
    </row>
    <row r="57" spans="1:6" ht="36" customHeight="1">
      <c r="A57" s="304" t="s">
        <v>189</v>
      </c>
      <c r="B57" s="304"/>
      <c r="C57" s="304"/>
      <c r="D57" s="304"/>
      <c r="E57" s="304"/>
      <c r="F57" s="304"/>
    </row>
    <row r="59" spans="1:6" ht="18.75">
      <c r="A59" s="309" t="s">
        <v>345</v>
      </c>
      <c r="B59" s="309"/>
      <c r="C59" s="309"/>
      <c r="D59" s="309"/>
      <c r="E59" s="309"/>
      <c r="F59" s="309"/>
    </row>
    <row r="60" spans="1:6" ht="18.75">
      <c r="A60" s="309" t="s">
        <v>343</v>
      </c>
      <c r="B60" s="309"/>
      <c r="C60" s="309"/>
      <c r="D60" s="309"/>
      <c r="E60" s="309"/>
      <c r="F60" s="309"/>
    </row>
    <row r="61" ht="19.5" thickBot="1">
      <c r="A61" s="98"/>
    </row>
    <row r="62" spans="1:5" ht="108" customHeight="1" thickBot="1">
      <c r="A62" s="91" t="s">
        <v>0</v>
      </c>
      <c r="B62" s="222" t="s">
        <v>1</v>
      </c>
      <c r="C62" s="222" t="s">
        <v>158</v>
      </c>
      <c r="D62" s="222" t="s">
        <v>159</v>
      </c>
      <c r="E62" s="222" t="s">
        <v>160</v>
      </c>
    </row>
    <row r="63" spans="1:5" ht="19.5" thickBot="1">
      <c r="A63" s="220">
        <v>1</v>
      </c>
      <c r="B63" s="143">
        <v>2</v>
      </c>
      <c r="C63" s="143">
        <v>3</v>
      </c>
      <c r="D63" s="143">
        <v>4</v>
      </c>
      <c r="E63" s="143">
        <v>5</v>
      </c>
    </row>
    <row r="64" spans="1:5" ht="19.5" thickBot="1">
      <c r="A64" s="220"/>
      <c r="B64" s="143"/>
      <c r="C64" s="143"/>
      <c r="D64" s="143"/>
      <c r="E64" s="143"/>
    </row>
    <row r="65" spans="1:5" ht="19.5" thickBot="1">
      <c r="A65" s="220"/>
      <c r="B65" s="108" t="s">
        <v>138</v>
      </c>
      <c r="C65" s="66" t="s">
        <v>139</v>
      </c>
      <c r="D65" s="66" t="s">
        <v>139</v>
      </c>
      <c r="E65" s="66"/>
    </row>
    <row r="68" spans="1:7" ht="18.75">
      <c r="A68" s="307" t="s">
        <v>192</v>
      </c>
      <c r="B68" s="307"/>
      <c r="C68" s="307"/>
      <c r="D68" s="307"/>
      <c r="E68" s="307"/>
      <c r="F68" s="307"/>
      <c r="G68" s="307"/>
    </row>
    <row r="69" ht="18.75">
      <c r="A69" s="99"/>
    </row>
    <row r="70" ht="18.75">
      <c r="A70" s="98"/>
    </row>
    <row r="71" spans="1:7" ht="18.75">
      <c r="A71" s="309" t="s">
        <v>346</v>
      </c>
      <c r="B71" s="309"/>
      <c r="C71" s="309"/>
      <c r="D71" s="309"/>
      <c r="E71" s="309"/>
      <c r="F71" s="309"/>
      <c r="G71" s="309"/>
    </row>
    <row r="72" spans="1:7" ht="18.75">
      <c r="A72" s="309" t="s">
        <v>256</v>
      </c>
      <c r="B72" s="309"/>
      <c r="C72" s="309"/>
      <c r="D72" s="309"/>
      <c r="E72" s="309"/>
      <c r="F72" s="309"/>
      <c r="G72" s="309"/>
    </row>
    <row r="73" ht="19.5" thickBot="1">
      <c r="A73" s="98"/>
    </row>
    <row r="74" spans="1:6" ht="141.75" customHeight="1" thickBot="1">
      <c r="A74" s="91" t="s">
        <v>0</v>
      </c>
      <c r="B74" s="222" t="s">
        <v>140</v>
      </c>
      <c r="C74" s="222" t="s">
        <v>161</v>
      </c>
      <c r="D74" s="222" t="s">
        <v>162</v>
      </c>
      <c r="E74" s="222" t="s">
        <v>163</v>
      </c>
      <c r="F74" s="174"/>
    </row>
    <row r="75" spans="1:6" ht="19.5" thickBot="1">
      <c r="A75" s="220">
        <v>1</v>
      </c>
      <c r="B75" s="143">
        <v>2</v>
      </c>
      <c r="C75" s="143">
        <v>3</v>
      </c>
      <c r="D75" s="143">
        <v>4</v>
      </c>
      <c r="E75" s="143">
        <v>5</v>
      </c>
      <c r="F75" s="174"/>
    </row>
    <row r="76" spans="1:12" ht="19.5" thickBot="1">
      <c r="A76" s="220">
        <v>1</v>
      </c>
      <c r="B76" s="143" t="s">
        <v>254</v>
      </c>
      <c r="C76" s="111">
        <v>14909727.27</v>
      </c>
      <c r="D76" s="111">
        <v>2.2</v>
      </c>
      <c r="E76" s="111">
        <f>(C76*D76)/100</f>
        <v>328013.99994</v>
      </c>
      <c r="F76" s="175">
        <f>328014-E76</f>
        <v>5.9999991208314896E-05</v>
      </c>
      <c r="H76" s="100"/>
      <c r="L76" s="174">
        <f>420508/0.015</f>
        <v>28033866.666666668</v>
      </c>
    </row>
    <row r="77" spans="1:6" ht="27" customHeight="1" thickBot="1">
      <c r="A77" s="220">
        <v>2</v>
      </c>
      <c r="B77" s="143" t="s">
        <v>255</v>
      </c>
      <c r="C77" s="111">
        <v>28033866.67</v>
      </c>
      <c r="D77" s="111">
        <v>1.5</v>
      </c>
      <c r="E77" s="111">
        <f>(C77*D77)/100</f>
        <v>420508.00005000003</v>
      </c>
      <c r="F77" s="175">
        <f>420508-E77</f>
        <v>-5.000003147870302E-05</v>
      </c>
    </row>
    <row r="78" spans="1:5" ht="19.5" thickBot="1">
      <c r="A78" s="220"/>
      <c r="B78" s="108" t="s">
        <v>138</v>
      </c>
      <c r="C78" s="112"/>
      <c r="D78" s="112" t="s">
        <v>139</v>
      </c>
      <c r="E78" s="112">
        <f>E77+E76</f>
        <v>748521.99999</v>
      </c>
    </row>
    <row r="80" spans="1:5" ht="18.75">
      <c r="A80" s="307" t="s">
        <v>300</v>
      </c>
      <c r="B80" s="307"/>
      <c r="C80" s="307"/>
      <c r="D80" s="307"/>
      <c r="E80" s="307"/>
    </row>
    <row r="81" ht="18.75">
      <c r="A81" s="99"/>
    </row>
    <row r="82" ht="18.75">
      <c r="A82" s="101" t="s">
        <v>290</v>
      </c>
    </row>
    <row r="83" spans="1:7" ht="18.75">
      <c r="A83" s="224" t="s">
        <v>256</v>
      </c>
      <c r="B83" s="224"/>
      <c r="C83" s="224"/>
      <c r="D83" s="224"/>
      <c r="E83" s="224"/>
      <c r="F83" s="224"/>
      <c r="G83" s="224"/>
    </row>
    <row r="84" ht="18.75">
      <c r="A84" s="101"/>
    </row>
    <row r="85" spans="1:6" ht="18.75">
      <c r="A85" s="307" t="s">
        <v>301</v>
      </c>
      <c r="B85" s="307"/>
      <c r="C85" s="307"/>
      <c r="D85" s="307"/>
      <c r="E85" s="307"/>
      <c r="F85" s="307"/>
    </row>
    <row r="86" ht="15.75" thickBot="1"/>
    <row r="87" spans="1:6" ht="38.25" thickBot="1">
      <c r="A87" s="91" t="s">
        <v>0</v>
      </c>
      <c r="B87" s="222" t="s">
        <v>140</v>
      </c>
      <c r="C87" s="222" t="s">
        <v>165</v>
      </c>
      <c r="D87" s="222" t="s">
        <v>166</v>
      </c>
      <c r="E87" s="222" t="s">
        <v>167</v>
      </c>
      <c r="F87" s="222" t="s">
        <v>144</v>
      </c>
    </row>
    <row r="88" spans="1:6" ht="19.5" thickBot="1">
      <c r="A88" s="220">
        <v>1</v>
      </c>
      <c r="B88" s="143">
        <v>2</v>
      </c>
      <c r="C88" s="143">
        <v>3</v>
      </c>
      <c r="D88" s="143">
        <v>4</v>
      </c>
      <c r="E88" s="143">
        <v>5</v>
      </c>
      <c r="F88" s="143">
        <v>6</v>
      </c>
    </row>
    <row r="89" spans="1:6" ht="38.25" thickBot="1">
      <c r="A89" s="220">
        <v>1</v>
      </c>
      <c r="B89" s="143" t="s">
        <v>258</v>
      </c>
      <c r="C89" s="143">
        <v>2</v>
      </c>
      <c r="D89" s="143">
        <v>12</v>
      </c>
      <c r="E89" s="111">
        <v>1000</v>
      </c>
      <c r="F89" s="111">
        <f>C89*D89*E89</f>
        <v>24000</v>
      </c>
    </row>
    <row r="90" spans="1:6" ht="19.5" thickBot="1">
      <c r="A90" s="220"/>
      <c r="B90" s="108" t="s">
        <v>138</v>
      </c>
      <c r="C90" s="66" t="s">
        <v>139</v>
      </c>
      <c r="D90" s="66" t="s">
        <v>139</v>
      </c>
      <c r="E90" s="66" t="s">
        <v>139</v>
      </c>
      <c r="F90" s="112">
        <f>F89</f>
        <v>24000</v>
      </c>
    </row>
    <row r="92" spans="1:6" ht="30" customHeight="1">
      <c r="A92" s="307" t="s">
        <v>302</v>
      </c>
      <c r="B92" s="307"/>
      <c r="C92" s="307"/>
      <c r="D92" s="307"/>
      <c r="E92" s="307"/>
      <c r="F92" s="307"/>
    </row>
    <row r="93" ht="15.75" thickBot="1"/>
    <row r="94" spans="1:5" ht="38.25" thickBot="1">
      <c r="A94" s="91" t="s">
        <v>0</v>
      </c>
      <c r="B94" s="222" t="s">
        <v>140</v>
      </c>
      <c r="C94" s="222" t="s">
        <v>169</v>
      </c>
      <c r="D94" s="222" t="s">
        <v>170</v>
      </c>
      <c r="E94" s="222" t="s">
        <v>171</v>
      </c>
    </row>
    <row r="95" spans="1:5" ht="19.5" thickBot="1">
      <c r="A95" s="220">
        <v>1</v>
      </c>
      <c r="B95" s="143">
        <v>2</v>
      </c>
      <c r="C95" s="143">
        <v>3</v>
      </c>
      <c r="D95" s="143">
        <v>4</v>
      </c>
      <c r="E95" s="143">
        <v>5</v>
      </c>
    </row>
    <row r="96" spans="1:5" ht="19.5" thickBot="1">
      <c r="A96" s="220"/>
      <c r="B96" s="143" t="s">
        <v>342</v>
      </c>
      <c r="C96" s="92">
        <v>4</v>
      </c>
      <c r="D96" s="92">
        <v>9500</v>
      </c>
      <c r="E96" s="92">
        <f>C96*D96</f>
        <v>38000</v>
      </c>
    </row>
    <row r="97" spans="1:5" ht="19.5" thickBot="1">
      <c r="A97" s="220"/>
      <c r="B97" s="114" t="s">
        <v>138</v>
      </c>
      <c r="C97" s="115">
        <f>C96</f>
        <v>4</v>
      </c>
      <c r="D97" s="115">
        <f>D96</f>
        <v>9500</v>
      </c>
      <c r="E97" s="115">
        <f>E96</f>
        <v>38000</v>
      </c>
    </row>
    <row r="99" spans="1:6" ht="18.75">
      <c r="A99" s="307" t="s">
        <v>303</v>
      </c>
      <c r="B99" s="307"/>
      <c r="C99" s="307"/>
      <c r="D99" s="307"/>
      <c r="E99" s="307"/>
      <c r="F99" s="307"/>
    </row>
    <row r="100" ht="15.75" thickBot="1"/>
    <row r="101" spans="1:7" ht="57" thickBot="1">
      <c r="A101" s="91" t="s">
        <v>0</v>
      </c>
      <c r="B101" s="222" t="s">
        <v>1</v>
      </c>
      <c r="C101" s="222" t="s">
        <v>295</v>
      </c>
      <c r="D101" s="222" t="s">
        <v>291</v>
      </c>
      <c r="E101" s="222" t="s">
        <v>173</v>
      </c>
      <c r="F101" s="222" t="s">
        <v>174</v>
      </c>
      <c r="G101" s="222" t="s">
        <v>297</v>
      </c>
    </row>
    <row r="102" spans="1:9" ht="19.5" thickBot="1">
      <c r="A102" s="220">
        <v>1</v>
      </c>
      <c r="B102" s="143">
        <v>2</v>
      </c>
      <c r="C102" s="143">
        <v>3</v>
      </c>
      <c r="D102" s="143">
        <v>4</v>
      </c>
      <c r="E102" s="143">
        <v>5</v>
      </c>
      <c r="F102" s="143">
        <v>6</v>
      </c>
      <c r="G102" s="143">
        <v>7</v>
      </c>
      <c r="H102" s="174"/>
      <c r="I102" s="174"/>
    </row>
    <row r="103" spans="1:9" ht="47.25" customHeight="1" thickBot="1">
      <c r="A103" s="220">
        <v>1</v>
      </c>
      <c r="B103" s="220" t="s">
        <v>259</v>
      </c>
      <c r="C103" s="92" t="s">
        <v>296</v>
      </c>
      <c r="D103" s="92">
        <v>355.2</v>
      </c>
      <c r="E103" s="92">
        <f>('[1]мой для учреждений'!$E$90/'[1]мой для учреждений'!$D$90)*1000</f>
        <v>6194.2179379228255</v>
      </c>
      <c r="F103" s="143"/>
      <c r="G103" s="102">
        <f>2345.12644*1000</f>
        <v>2345126.44</v>
      </c>
      <c r="H103" s="174">
        <f>'[1]мой для учреждений'!$E$90*1000</f>
        <v>2133350.6</v>
      </c>
      <c r="I103" s="175">
        <f aca="true" t="shared" si="1" ref="I103:I109">G103-H103</f>
        <v>211775.83999999985</v>
      </c>
    </row>
    <row r="104" spans="1:9" ht="47.25" customHeight="1" thickBot="1">
      <c r="A104" s="220">
        <v>2</v>
      </c>
      <c r="B104" s="220" t="s">
        <v>260</v>
      </c>
      <c r="C104" s="92" t="s">
        <v>296</v>
      </c>
      <c r="D104" s="92">
        <v>97.92</v>
      </c>
      <c r="E104" s="92">
        <f>('[1]мой для учреждений'!$I$90/'[1]мой для учреждений'!$H$90)*1000</f>
        <v>6225.295637521064</v>
      </c>
      <c r="F104" s="143"/>
      <c r="G104" s="102">
        <f>648.98019*1000</f>
        <v>648980.19</v>
      </c>
      <c r="H104" s="174">
        <f>'[1]мой для учреждений'!$I$90*1000</f>
        <v>664986.08</v>
      </c>
      <c r="I104" s="175">
        <f t="shared" si="1"/>
        <v>-16005.890000000014</v>
      </c>
    </row>
    <row r="105" spans="1:9" ht="47.25" customHeight="1" thickBot="1">
      <c r="A105" s="220">
        <v>3</v>
      </c>
      <c r="B105" s="220" t="s">
        <v>261</v>
      </c>
      <c r="C105" s="92" t="s">
        <v>324</v>
      </c>
      <c r="D105" s="92">
        <f>40.258*1000</f>
        <v>40258</v>
      </c>
      <c r="E105" s="92">
        <f>('[1]мой для учреждений'!$M$90/'[1]мой для учреждений'!$L$90)</f>
        <v>7.169591896367001</v>
      </c>
      <c r="F105" s="143"/>
      <c r="G105" s="102">
        <f>204.77388*1000</f>
        <v>204773.88</v>
      </c>
      <c r="H105" s="174">
        <f>'[1]мой для учреждений'!$M$90*1000</f>
        <v>294440.80000000005</v>
      </c>
      <c r="I105" s="175">
        <f t="shared" si="1"/>
        <v>-89666.92000000004</v>
      </c>
    </row>
    <row r="106" spans="1:9" ht="47.25" customHeight="1" thickBot="1">
      <c r="A106" s="220">
        <v>4</v>
      </c>
      <c r="B106" s="220" t="s">
        <v>262</v>
      </c>
      <c r="C106" s="92" t="s">
        <v>311</v>
      </c>
      <c r="D106" s="92">
        <f>'[1]мой для учреждений'!$P$90</f>
        <v>2232</v>
      </c>
      <c r="E106" s="92">
        <f>('[1]мой для учреждений'!$Q$90/'[1]мой для учреждений'!$P$90)*1000</f>
        <v>56.51198924731183</v>
      </c>
      <c r="F106" s="143"/>
      <c r="G106" s="102">
        <f>132.59233*1000</f>
        <v>132592.33000000002</v>
      </c>
      <c r="H106" s="174">
        <f>'[1]мой для учреждений'!$Q$90*1000</f>
        <v>126134.76</v>
      </c>
      <c r="I106" s="175">
        <f t="shared" si="1"/>
        <v>6457.5700000000215</v>
      </c>
    </row>
    <row r="107" spans="1:9" ht="47.25" customHeight="1" thickBot="1">
      <c r="A107" s="220">
        <v>5</v>
      </c>
      <c r="B107" s="220" t="s">
        <v>263</v>
      </c>
      <c r="C107" s="92" t="s">
        <v>311</v>
      </c>
      <c r="D107" s="92">
        <v>3221.13</v>
      </c>
      <c r="E107" s="92">
        <f>('[1]мой для учреждений'!$Y$90/'[1]мой для учреждений'!$X$90)*1000</f>
        <v>45.253488818113304</v>
      </c>
      <c r="F107" s="143"/>
      <c r="G107" s="102">
        <f>148.02621*1000</f>
        <v>148026.21</v>
      </c>
      <c r="H107" s="174">
        <f>'[1]мой для учреждений'!$Y$90*1000</f>
        <v>149831.36</v>
      </c>
      <c r="I107" s="175">
        <f t="shared" si="1"/>
        <v>-1805.1499999999942</v>
      </c>
    </row>
    <row r="108" spans="1:9" ht="47.25" customHeight="1" thickBot="1">
      <c r="A108" s="220">
        <v>6</v>
      </c>
      <c r="B108" s="220" t="s">
        <v>264</v>
      </c>
      <c r="C108" s="92" t="s">
        <v>311</v>
      </c>
      <c r="D108" s="92">
        <v>989.127</v>
      </c>
      <c r="E108" s="92">
        <f>('[1]мой для учреждений'!$U$90/'[1]мой для учреждений'!$T$90)*1000</f>
        <v>56.564667936437324</v>
      </c>
      <c r="F108" s="143"/>
      <c r="G108" s="102">
        <f>58.67633*1000</f>
        <v>58676.33</v>
      </c>
      <c r="H108" s="174">
        <f>'[1]мой для учреждений'!$U$90*1000</f>
        <v>61029.6</v>
      </c>
      <c r="I108" s="175">
        <f t="shared" si="1"/>
        <v>-2353.269999999997</v>
      </c>
    </row>
    <row r="109" spans="1:9" ht="19.5" thickBot="1">
      <c r="A109" s="220"/>
      <c r="B109" s="108" t="s">
        <v>138</v>
      </c>
      <c r="C109" s="66" t="s">
        <v>139</v>
      </c>
      <c r="D109" s="66" t="s">
        <v>139</v>
      </c>
      <c r="E109" s="66" t="s">
        <v>139</v>
      </c>
      <c r="F109" s="66" t="s">
        <v>139</v>
      </c>
      <c r="G109" s="113">
        <f>G108+G107+G106+G105+G104+G103</f>
        <v>3538175.38</v>
      </c>
      <c r="H109" s="174">
        <f>'[1]мой для учреждений'!$Z$90*1000</f>
        <v>3429773.2</v>
      </c>
      <c r="I109" s="175">
        <f t="shared" si="1"/>
        <v>108402.1799999997</v>
      </c>
    </row>
    <row r="110" spans="8:9" ht="15">
      <c r="H110" s="174"/>
      <c r="I110" s="174"/>
    </row>
    <row r="111" spans="1:6" ht="18.75">
      <c r="A111" s="307" t="s">
        <v>304</v>
      </c>
      <c r="B111" s="307"/>
      <c r="C111" s="307"/>
      <c r="D111" s="307"/>
      <c r="E111" s="307"/>
      <c r="F111" s="101"/>
    </row>
    <row r="112" ht="15.75" thickBot="1"/>
    <row r="113" spans="1:5" ht="57" thickBot="1">
      <c r="A113" s="91" t="s">
        <v>0</v>
      </c>
      <c r="B113" s="222" t="s">
        <v>1</v>
      </c>
      <c r="C113" s="222" t="s">
        <v>176</v>
      </c>
      <c r="D113" s="222" t="s">
        <v>177</v>
      </c>
      <c r="E113" s="222" t="s">
        <v>178</v>
      </c>
    </row>
    <row r="114" spans="1:5" ht="19.5" thickBot="1">
      <c r="A114" s="220">
        <v>1</v>
      </c>
      <c r="B114" s="143">
        <v>2</v>
      </c>
      <c r="C114" s="143">
        <v>3</v>
      </c>
      <c r="D114" s="143">
        <v>4</v>
      </c>
      <c r="E114" s="143">
        <v>5</v>
      </c>
    </row>
    <row r="115" spans="1:5" ht="19.5" thickBot="1">
      <c r="A115" s="220"/>
      <c r="B115" s="143"/>
      <c r="C115" s="143"/>
      <c r="D115" s="143"/>
      <c r="E115" s="143"/>
    </row>
    <row r="116" spans="1:5" ht="19.5" thickBot="1">
      <c r="A116" s="220"/>
      <c r="B116" s="93" t="s">
        <v>138</v>
      </c>
      <c r="C116" s="143" t="s">
        <v>139</v>
      </c>
      <c r="D116" s="143" t="s">
        <v>139</v>
      </c>
      <c r="E116" s="143" t="s">
        <v>139</v>
      </c>
    </row>
    <row r="118" spans="1:5" ht="39.75" customHeight="1">
      <c r="A118" s="304" t="s">
        <v>305</v>
      </c>
      <c r="B118" s="304"/>
      <c r="C118" s="304"/>
      <c r="D118" s="304"/>
      <c r="E118" s="304"/>
    </row>
    <row r="119" ht="19.5" thickBot="1">
      <c r="A119" s="98"/>
    </row>
    <row r="120" spans="1:5" ht="57" thickBot="1">
      <c r="A120" s="91" t="s">
        <v>0</v>
      </c>
      <c r="B120" s="222" t="s">
        <v>140</v>
      </c>
      <c r="C120" s="222" t="s">
        <v>179</v>
      </c>
      <c r="D120" s="222" t="s">
        <v>180</v>
      </c>
      <c r="E120" s="222" t="s">
        <v>181</v>
      </c>
    </row>
    <row r="121" spans="1:5" ht="19.5" thickBot="1">
      <c r="A121" s="220">
        <v>1</v>
      </c>
      <c r="B121" s="143">
        <v>2</v>
      </c>
      <c r="C121" s="143">
        <v>3</v>
      </c>
      <c r="D121" s="143">
        <v>4</v>
      </c>
      <c r="E121" s="143">
        <v>5</v>
      </c>
    </row>
    <row r="122" spans="1:5" ht="19.5" thickBot="1">
      <c r="A122" s="220">
        <v>1</v>
      </c>
      <c r="B122" s="103" t="s">
        <v>267</v>
      </c>
      <c r="C122" s="143"/>
      <c r="D122" s="143">
        <v>12</v>
      </c>
      <c r="E122" s="111">
        <v>9600</v>
      </c>
    </row>
    <row r="123" spans="1:5" ht="38.25" thickBot="1">
      <c r="A123" s="220">
        <v>2</v>
      </c>
      <c r="B123" s="103" t="s">
        <v>354</v>
      </c>
      <c r="C123" s="143"/>
      <c r="D123" s="143">
        <v>12</v>
      </c>
      <c r="E123" s="111">
        <v>72000</v>
      </c>
    </row>
    <row r="124" spans="1:5" ht="38.25" thickBot="1">
      <c r="A124" s="220">
        <v>3</v>
      </c>
      <c r="B124" s="103" t="s">
        <v>339</v>
      </c>
      <c r="C124" s="143"/>
      <c r="D124" s="143">
        <v>12</v>
      </c>
      <c r="E124" s="111">
        <v>72000</v>
      </c>
    </row>
    <row r="125" spans="1:5" ht="57" thickBot="1">
      <c r="A125" s="220">
        <v>4</v>
      </c>
      <c r="B125" s="103" t="s">
        <v>355</v>
      </c>
      <c r="C125" s="143"/>
      <c r="D125" s="143">
        <v>12</v>
      </c>
      <c r="E125" s="111">
        <v>120000</v>
      </c>
    </row>
    <row r="126" spans="1:5" ht="24.75" customHeight="1" thickBot="1">
      <c r="A126" s="220">
        <v>5</v>
      </c>
      <c r="B126" s="103" t="s">
        <v>356</v>
      </c>
      <c r="C126" s="143"/>
      <c r="D126" s="143">
        <v>12</v>
      </c>
      <c r="E126" s="111">
        <v>94000</v>
      </c>
    </row>
    <row r="127" spans="1:5" ht="94.5" thickBot="1">
      <c r="A127" s="220">
        <v>6</v>
      </c>
      <c r="B127" s="103" t="s">
        <v>357</v>
      </c>
      <c r="C127" s="143"/>
      <c r="D127" s="143">
        <v>12</v>
      </c>
      <c r="E127" s="111">
        <v>36000</v>
      </c>
    </row>
    <row r="128" spans="1:5" ht="19.5" thickBot="1">
      <c r="A128" s="220">
        <v>7</v>
      </c>
      <c r="B128" s="103" t="s">
        <v>272</v>
      </c>
      <c r="C128" s="143"/>
      <c r="D128" s="143">
        <v>6</v>
      </c>
      <c r="E128" s="111">
        <v>260000</v>
      </c>
    </row>
    <row r="129" spans="1:5" ht="75.75" thickBot="1">
      <c r="A129" s="220">
        <v>8</v>
      </c>
      <c r="B129" s="103" t="s">
        <v>340</v>
      </c>
      <c r="C129" s="143"/>
      <c r="D129" s="143">
        <v>4</v>
      </c>
      <c r="E129" s="111">
        <v>8000</v>
      </c>
    </row>
    <row r="130" spans="1:5" ht="57" thickBot="1">
      <c r="A130" s="220">
        <v>9</v>
      </c>
      <c r="B130" s="103" t="s">
        <v>318</v>
      </c>
      <c r="C130" s="143"/>
      <c r="D130" s="143"/>
      <c r="E130" s="111">
        <v>91000</v>
      </c>
    </row>
    <row r="131" spans="1:5" ht="19.5" thickBot="1">
      <c r="A131" s="220">
        <v>10</v>
      </c>
      <c r="B131" s="103" t="s">
        <v>319</v>
      </c>
      <c r="C131" s="143"/>
      <c r="D131" s="143"/>
      <c r="E131" s="111">
        <v>30000</v>
      </c>
    </row>
    <row r="132" spans="1:5" ht="38.25" thickBot="1">
      <c r="A132" s="220">
        <v>11</v>
      </c>
      <c r="B132" s="103" t="s">
        <v>274</v>
      </c>
      <c r="C132" s="143"/>
      <c r="D132" s="143"/>
      <c r="E132" s="111">
        <v>30000</v>
      </c>
    </row>
    <row r="133" spans="1:5" ht="60.75" customHeight="1" thickBot="1">
      <c r="A133" s="220">
        <v>12</v>
      </c>
      <c r="B133" s="103" t="s">
        <v>358</v>
      </c>
      <c r="C133" s="143"/>
      <c r="D133" s="143"/>
      <c r="E133" s="111">
        <v>40000</v>
      </c>
    </row>
    <row r="134" spans="1:5" ht="38.25" thickBot="1">
      <c r="A134" s="220">
        <v>13</v>
      </c>
      <c r="B134" s="103" t="s">
        <v>359</v>
      </c>
      <c r="C134" s="143"/>
      <c r="D134" s="143"/>
      <c r="E134" s="111">
        <v>36000</v>
      </c>
    </row>
    <row r="135" spans="1:5" ht="38.25" thickBot="1">
      <c r="A135" s="220">
        <v>14</v>
      </c>
      <c r="B135" s="103" t="s">
        <v>378</v>
      </c>
      <c r="C135" s="143"/>
      <c r="D135" s="143"/>
      <c r="E135" s="111">
        <f>200000-36847.42</f>
        <v>163152.58000000002</v>
      </c>
    </row>
    <row r="136" spans="1:5" ht="38.25" thickBot="1">
      <c r="A136" s="220">
        <v>15</v>
      </c>
      <c r="B136" s="103" t="s">
        <v>379</v>
      </c>
      <c r="C136" s="143"/>
      <c r="D136" s="143"/>
      <c r="E136" s="111">
        <f>49222.24-34000</f>
        <v>15222.239999999998</v>
      </c>
    </row>
    <row r="137" spans="1:7" ht="19.5" thickBot="1">
      <c r="A137" s="220"/>
      <c r="B137" s="108" t="s">
        <v>138</v>
      </c>
      <c r="C137" s="66" t="s">
        <v>139</v>
      </c>
      <c r="D137" s="66" t="s">
        <v>139</v>
      </c>
      <c r="E137" s="112">
        <f>SUM(E122:E136)</f>
        <v>1076974.82</v>
      </c>
      <c r="F137" s="176">
        <f>'[2]дс 56'!$R$36-'[2]дс 56'!$R$9-'[2]дс 56'!$R$7-'[2]дс 56'!$R$6</f>
        <v>948600</v>
      </c>
      <c r="G137" s="175">
        <f>F137-E137</f>
        <v>-128374.82000000007</v>
      </c>
    </row>
    <row r="139" spans="1:5" ht="37.5" customHeight="1">
      <c r="A139" s="304" t="s">
        <v>306</v>
      </c>
      <c r="B139" s="304"/>
      <c r="C139" s="304"/>
      <c r="D139" s="304"/>
      <c r="E139" s="304"/>
    </row>
    <row r="140" ht="19.5" thickBot="1">
      <c r="A140" s="98"/>
    </row>
    <row r="141" spans="1:4" ht="38.25" thickBot="1">
      <c r="A141" s="91" t="s">
        <v>0</v>
      </c>
      <c r="B141" s="222" t="s">
        <v>140</v>
      </c>
      <c r="C141" s="222" t="s">
        <v>182</v>
      </c>
      <c r="D141" s="222" t="s">
        <v>183</v>
      </c>
    </row>
    <row r="142" spans="1:4" ht="19.5" thickBot="1">
      <c r="A142" s="220">
        <v>1</v>
      </c>
      <c r="B142" s="143">
        <v>2</v>
      </c>
      <c r="C142" s="143">
        <v>3</v>
      </c>
      <c r="D142" s="143">
        <v>4</v>
      </c>
    </row>
    <row r="143" spans="1:4" ht="24.75" customHeight="1" thickBot="1">
      <c r="A143" s="220">
        <v>1</v>
      </c>
      <c r="B143" s="103" t="s">
        <v>276</v>
      </c>
      <c r="C143" s="143">
        <v>1</v>
      </c>
      <c r="D143" s="111">
        <v>96000</v>
      </c>
    </row>
    <row r="144" spans="1:4" ht="24.75" customHeight="1" thickBot="1">
      <c r="A144" s="220">
        <v>2</v>
      </c>
      <c r="B144" s="103" t="s">
        <v>360</v>
      </c>
      <c r="C144" s="143">
        <v>1</v>
      </c>
      <c r="D144" s="111">
        <v>90000</v>
      </c>
    </row>
    <row r="145" spans="1:4" ht="38.25" customHeight="1" thickBot="1">
      <c r="A145" s="220">
        <v>3</v>
      </c>
      <c r="B145" s="103" t="s">
        <v>361</v>
      </c>
      <c r="C145" s="143">
        <v>1</v>
      </c>
      <c r="D145" s="111">
        <v>120000</v>
      </c>
    </row>
    <row r="146" spans="1:4" ht="37.5" customHeight="1" thickBot="1">
      <c r="A146" s="220">
        <v>4</v>
      </c>
      <c r="B146" s="103" t="s">
        <v>362</v>
      </c>
      <c r="C146" s="143"/>
      <c r="D146" s="111">
        <v>36000</v>
      </c>
    </row>
    <row r="147" spans="1:4" ht="28.5" customHeight="1" thickBot="1">
      <c r="A147" s="220">
        <v>5</v>
      </c>
      <c r="B147" s="103" t="s">
        <v>279</v>
      </c>
      <c r="C147" s="143"/>
      <c r="D147" s="111">
        <v>130000</v>
      </c>
    </row>
    <row r="148" spans="1:4" ht="19.5" thickBot="1">
      <c r="A148" s="220">
        <v>6</v>
      </c>
      <c r="B148" s="103" t="s">
        <v>320</v>
      </c>
      <c r="C148" s="143"/>
      <c r="D148" s="111">
        <v>35000</v>
      </c>
    </row>
    <row r="149" spans="1:4" ht="28.5" customHeight="1" thickBot="1">
      <c r="A149" s="220">
        <v>7</v>
      </c>
      <c r="B149" s="103" t="s">
        <v>321</v>
      </c>
      <c r="C149" s="143"/>
      <c r="D149" s="111">
        <v>30000</v>
      </c>
    </row>
    <row r="150" spans="1:4" ht="19.5" thickBot="1">
      <c r="A150" s="220">
        <v>8</v>
      </c>
      <c r="B150" s="103" t="s">
        <v>322</v>
      </c>
      <c r="C150" s="143"/>
      <c r="D150" s="111">
        <v>90000</v>
      </c>
    </row>
    <row r="151" spans="1:4" ht="19.5" thickBot="1">
      <c r="A151" s="220"/>
      <c r="B151" s="108" t="s">
        <v>138</v>
      </c>
      <c r="C151" s="66" t="s">
        <v>139</v>
      </c>
      <c r="D151" s="112">
        <f>SUM(D143:D150)</f>
        <v>627000</v>
      </c>
    </row>
    <row r="153" spans="1:6" ht="51" customHeight="1">
      <c r="A153" s="304" t="s">
        <v>307</v>
      </c>
      <c r="B153" s="304"/>
      <c r="C153" s="304"/>
      <c r="D153" s="304"/>
      <c r="E153" s="304"/>
      <c r="F153" s="304"/>
    </row>
    <row r="154" ht="15.75" thickBot="1"/>
    <row r="155" spans="1:5" ht="57" thickBot="1">
      <c r="A155" s="91" t="s">
        <v>0</v>
      </c>
      <c r="B155" s="222" t="s">
        <v>140</v>
      </c>
      <c r="C155" s="222" t="s">
        <v>176</v>
      </c>
      <c r="D155" s="222" t="s">
        <v>184</v>
      </c>
      <c r="E155" s="222" t="s">
        <v>185</v>
      </c>
    </row>
    <row r="156" spans="1:5" ht="19.5" thickBot="1">
      <c r="A156" s="220"/>
      <c r="B156" s="143">
        <v>1</v>
      </c>
      <c r="C156" s="143">
        <v>2</v>
      </c>
      <c r="D156" s="143">
        <v>3</v>
      </c>
      <c r="E156" s="143">
        <v>4</v>
      </c>
    </row>
    <row r="157" spans="1:5" ht="54.75" customHeight="1" hidden="1" thickBot="1">
      <c r="A157" s="220">
        <v>1</v>
      </c>
      <c r="B157" s="103" t="s">
        <v>284</v>
      </c>
      <c r="C157" s="143"/>
      <c r="D157" s="111">
        <f>E157</f>
        <v>0</v>
      </c>
      <c r="E157" s="111">
        <v>0</v>
      </c>
    </row>
    <row r="158" spans="1:5" ht="102" customHeight="1" hidden="1" thickBot="1">
      <c r="A158" s="220">
        <v>2</v>
      </c>
      <c r="B158" s="103" t="s">
        <v>287</v>
      </c>
      <c r="C158" s="143"/>
      <c r="D158" s="111">
        <f>E158</f>
        <v>0</v>
      </c>
      <c r="E158" s="111">
        <v>0</v>
      </c>
    </row>
    <row r="159" spans="1:5" ht="50.25" customHeight="1" hidden="1" thickBot="1">
      <c r="A159" s="221"/>
      <c r="B159" s="110" t="s">
        <v>293</v>
      </c>
      <c r="C159" s="66"/>
      <c r="D159" s="112"/>
      <c r="E159" s="112">
        <f>E158+E157</f>
        <v>0</v>
      </c>
    </row>
    <row r="160" spans="1:14" ht="49.5" customHeight="1" thickBot="1">
      <c r="A160" s="220">
        <v>1</v>
      </c>
      <c r="B160" s="103" t="s">
        <v>285</v>
      </c>
      <c r="C160" s="143"/>
      <c r="D160" s="111">
        <f>E160</f>
        <v>47951.82999999999</v>
      </c>
      <c r="E160" s="111">
        <f>148183.83-E161-40232</f>
        <v>47951.82999999999</v>
      </c>
      <c r="L160" s="175" t="e">
        <f>F43+F90+E137+D151+E157+E160+E161+E97+#REF!</f>
        <v>#REF!</v>
      </c>
      <c r="M160" s="174">
        <v>2449905.76</v>
      </c>
      <c r="N160" s="175" t="e">
        <f>L160-M160</f>
        <v>#REF!</v>
      </c>
    </row>
    <row r="161" spans="1:14" ht="49.5" customHeight="1" thickBot="1">
      <c r="A161" s="220">
        <v>2</v>
      </c>
      <c r="B161" s="103" t="s">
        <v>323</v>
      </c>
      <c r="C161" s="143"/>
      <c r="D161" s="111">
        <f>E161</f>
        <v>60000</v>
      </c>
      <c r="E161" s="111">
        <v>60000</v>
      </c>
      <c r="L161" s="202">
        <f>E158+E162</f>
        <v>932103</v>
      </c>
      <c r="M161" s="176">
        <v>932103</v>
      </c>
      <c r="N161" s="202">
        <f>L161-M161</f>
        <v>0</v>
      </c>
    </row>
    <row r="162" spans="1:5" ht="85.5" customHeight="1" thickBot="1">
      <c r="A162" s="220">
        <v>3</v>
      </c>
      <c r="B162" s="103" t="s">
        <v>286</v>
      </c>
      <c r="C162" s="143"/>
      <c r="D162" s="111">
        <f>E162</f>
        <v>932103</v>
      </c>
      <c r="E162" s="111">
        <v>932103</v>
      </c>
    </row>
    <row r="163" spans="1:5" ht="50.25" customHeight="1" thickBot="1">
      <c r="A163" s="221"/>
      <c r="B163" s="110" t="s">
        <v>294</v>
      </c>
      <c r="C163" s="66"/>
      <c r="D163" s="112"/>
      <c r="E163" s="112">
        <f>E162+E161+E160</f>
        <v>1040054.83</v>
      </c>
    </row>
    <row r="165" ht="15.75">
      <c r="B165" s="235" t="s">
        <v>375</v>
      </c>
    </row>
    <row r="166" ht="15.75">
      <c r="B166" s="235" t="s">
        <v>381</v>
      </c>
    </row>
    <row r="168" spans="5:6" ht="15">
      <c r="E168" s="236">
        <f>E163+D151+E137+G109+E97+F90+E78+D55+F43+J28</f>
        <v>50809614.00450401</v>
      </c>
      <c r="F168" s="236">
        <f>' Мун. 2018'!E169-'Мун. 2020'!E168</f>
        <v>0</v>
      </c>
    </row>
  </sheetData>
  <sheetProtection/>
  <mergeCells count="35">
    <mergeCell ref="A11:J11"/>
    <mergeCell ref="A13:J13"/>
    <mergeCell ref="A15:J15"/>
    <mergeCell ref="A16:J16"/>
    <mergeCell ref="A18:J18"/>
    <mergeCell ref="A20:A22"/>
    <mergeCell ref="B20:B22"/>
    <mergeCell ref="C20:C22"/>
    <mergeCell ref="D20:G20"/>
    <mergeCell ref="H20:H22"/>
    <mergeCell ref="I20:I22"/>
    <mergeCell ref="J20:J22"/>
    <mergeCell ref="D21:D22"/>
    <mergeCell ref="E21:G21"/>
    <mergeCell ref="A28:B28"/>
    <mergeCell ref="A31:F31"/>
    <mergeCell ref="A38:F38"/>
    <mergeCell ref="A45:E45"/>
    <mergeCell ref="A50:A51"/>
    <mergeCell ref="C50:C51"/>
    <mergeCell ref="D50:D51"/>
    <mergeCell ref="A57:F57"/>
    <mergeCell ref="A59:F59"/>
    <mergeCell ref="A60:F60"/>
    <mergeCell ref="A68:G68"/>
    <mergeCell ref="A71:G71"/>
    <mergeCell ref="A72:G72"/>
    <mergeCell ref="A80:E80"/>
    <mergeCell ref="A153:F153"/>
    <mergeCell ref="A85:F85"/>
    <mergeCell ref="A92:F92"/>
    <mergeCell ref="A99:F99"/>
    <mergeCell ref="A111:E111"/>
    <mergeCell ref="A118:E118"/>
    <mergeCell ref="A139:E139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60" r:id="rId1"/>
  <rowBreaks count="7" manualBreakCount="7">
    <brk id="30" max="9" man="1"/>
    <brk id="44" max="9" man="1"/>
    <brk id="56" max="9" man="1"/>
    <brk id="79" max="9" man="1"/>
    <brk id="98" max="9" man="1"/>
    <brk id="116" max="9" man="1"/>
    <brk id="1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Esukhorukova</cp:lastModifiedBy>
  <cp:lastPrinted>2017-12-20T02:29:51Z</cp:lastPrinted>
  <dcterms:created xsi:type="dcterms:W3CDTF">2017-01-10T09:11:14Z</dcterms:created>
  <dcterms:modified xsi:type="dcterms:W3CDTF">2017-12-20T02:29:53Z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